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通过资格审查合格人员名单" sheetId="1" r:id="rId1"/>
  </sheets>
  <definedNames/>
  <calcPr fullCalcOnLoad="1"/>
</workbook>
</file>

<file path=xl/sharedStrings.xml><?xml version="1.0" encoding="utf-8"?>
<sst xmlns="http://schemas.openxmlformats.org/spreadsheetml/2006/main" count="1905" uniqueCount="24">
  <si>
    <t>附件1：儋州市2021年面向社会公开招聘卫生健康事业单位 编内工作人员进入笔试人员名单</t>
  </si>
  <si>
    <t>序号</t>
  </si>
  <si>
    <t>报考号</t>
  </si>
  <si>
    <t>报考岗位</t>
  </si>
  <si>
    <t>姓名</t>
  </si>
  <si>
    <t>性别</t>
  </si>
  <si>
    <t>备注</t>
  </si>
  <si>
    <t>0101_检验专技人员（化学专业、应用化学专业）</t>
  </si>
  <si>
    <t>0102_检验专技人员（医学检验技术专业）</t>
  </si>
  <si>
    <t>0103_检验专技人员（卫生检验与检疫专业）</t>
  </si>
  <si>
    <t>0105_公卫专技人员（预防医学专业）</t>
  </si>
  <si>
    <t>0106_财务专技人员</t>
  </si>
  <si>
    <t>0107_管理岗人员</t>
  </si>
  <si>
    <t>0201_设备管理专技人员</t>
  </si>
  <si>
    <t>0301_口腔科医生</t>
  </si>
  <si>
    <t>0501_管理岗人员</t>
  </si>
  <si>
    <t>0601_放射科医生</t>
  </si>
  <si>
    <t>0602_护理专技人员</t>
  </si>
  <si>
    <t xml:space="preserve">吴石英 </t>
  </si>
  <si>
    <t>0603_检验专技人员</t>
  </si>
  <si>
    <t>0604_财务专技人员</t>
  </si>
  <si>
    <t>0605_公卫专技人员</t>
  </si>
  <si>
    <t>0606_信息网络管理岗人员</t>
  </si>
  <si>
    <t>0607_药剂专技人员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</si>
</sst>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99"/>
  <sheetViews>
    <sheetView tabSelected="1" workbookViewId="0" topLeftCell="A1">
      <selection activeCell="A1" sqref="A1:F1"/>
    </sheetView>
  </sheetViews>
  <sheetFormatPr defaultColWidth="9.00390625" defaultRowHeight="15"/>
  <cols>
    <col min="1" max="1" width="4.8515625" style="2" customWidth="1"/>
    <col min="2" max="2" width="23.57421875" style="2" customWidth="1"/>
    <col min="3" max="3" width="26.28125" style="2" customWidth="1"/>
    <col min="4" max="4" width="7.421875" style="2" customWidth="1"/>
    <col min="5" max="5" width="9.140625" style="2" customWidth="1"/>
    <col min="6" max="6" width="14.28125" style="2" customWidth="1"/>
    <col min="7" max="16384" width="9.00390625" style="2" customWidth="1"/>
  </cols>
  <sheetData>
    <row r="1" spans="1:6" ht="69" customHeight="1">
      <c r="A1" s="3" t="s">
        <v>0</v>
      </c>
      <c r="B1" s="4"/>
      <c r="C1" s="4"/>
      <c r="D1" s="4"/>
      <c r="E1" s="4"/>
      <c r="F1" s="4"/>
    </row>
    <row r="2" spans="1:6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30" customHeight="1">
      <c r="A3" s="7">
        <v>1</v>
      </c>
      <c r="B3" s="7" t="str">
        <f>"34542021111910502250593"</f>
        <v>34542021111910502250593</v>
      </c>
      <c r="C3" s="7" t="s">
        <v>7</v>
      </c>
      <c r="D3" s="7" t="str">
        <f>"郑心怡"</f>
        <v>郑心怡</v>
      </c>
      <c r="E3" s="7" t="str">
        <f aca="true" t="shared" si="0" ref="E3:E7">"女"</f>
        <v>女</v>
      </c>
      <c r="F3" s="7"/>
    </row>
    <row r="4" spans="1:6" ht="30" customHeight="1">
      <c r="A4" s="7">
        <v>2</v>
      </c>
      <c r="B4" s="7" t="str">
        <f>"34542021111911211750636"</f>
        <v>34542021111911211750636</v>
      </c>
      <c r="C4" s="7" t="s">
        <v>7</v>
      </c>
      <c r="D4" s="7" t="str">
        <f>"何文夏"</f>
        <v>何文夏</v>
      </c>
      <c r="E4" s="7" t="str">
        <f t="shared" si="0"/>
        <v>女</v>
      </c>
      <c r="F4" s="7"/>
    </row>
    <row r="5" spans="1:6" ht="30" customHeight="1">
      <c r="A5" s="7">
        <v>3</v>
      </c>
      <c r="B5" s="7" t="str">
        <f>"34542021111912231750706"</f>
        <v>34542021111912231750706</v>
      </c>
      <c r="C5" s="7" t="s">
        <v>7</v>
      </c>
      <c r="D5" s="7" t="str">
        <f>"简建军"</f>
        <v>简建军</v>
      </c>
      <c r="E5" s="7" t="str">
        <f aca="true" t="shared" si="1" ref="E5:E9">"男"</f>
        <v>男</v>
      </c>
      <c r="F5" s="7"/>
    </row>
    <row r="6" spans="1:6" ht="30" customHeight="1">
      <c r="A6" s="7">
        <v>4</v>
      </c>
      <c r="B6" s="7" t="str">
        <f>"34542021112011271251221"</f>
        <v>34542021112011271251221</v>
      </c>
      <c r="C6" s="7" t="s">
        <v>7</v>
      </c>
      <c r="D6" s="7" t="str">
        <f>"陈娇婷"</f>
        <v>陈娇婷</v>
      </c>
      <c r="E6" s="7" t="str">
        <f t="shared" si="0"/>
        <v>女</v>
      </c>
      <c r="F6" s="7"/>
    </row>
    <row r="7" spans="1:6" ht="30" customHeight="1">
      <c r="A7" s="7">
        <v>5</v>
      </c>
      <c r="B7" s="7" t="str">
        <f>"34542021112014044551277"</f>
        <v>34542021112014044551277</v>
      </c>
      <c r="C7" s="7" t="s">
        <v>7</v>
      </c>
      <c r="D7" s="7" t="str">
        <f>"曾福丽"</f>
        <v>曾福丽</v>
      </c>
      <c r="E7" s="7" t="str">
        <f t="shared" si="0"/>
        <v>女</v>
      </c>
      <c r="F7" s="7"/>
    </row>
    <row r="8" spans="1:6" ht="30" customHeight="1">
      <c r="A8" s="7">
        <v>6</v>
      </c>
      <c r="B8" s="7" t="str">
        <f>"34542021112209171151772"</f>
        <v>34542021112209171151772</v>
      </c>
      <c r="C8" s="7" t="s">
        <v>7</v>
      </c>
      <c r="D8" s="7" t="str">
        <f>"陈积杰"</f>
        <v>陈积杰</v>
      </c>
      <c r="E8" s="7" t="str">
        <f t="shared" si="1"/>
        <v>男</v>
      </c>
      <c r="F8" s="7"/>
    </row>
    <row r="9" spans="1:6" ht="30" customHeight="1">
      <c r="A9" s="7">
        <v>7</v>
      </c>
      <c r="B9" s="7" t="str">
        <f>"34542021112211160051865"</f>
        <v>34542021112211160051865</v>
      </c>
      <c r="C9" s="7" t="s">
        <v>7</v>
      </c>
      <c r="D9" s="7" t="str">
        <f>"陈奕新"</f>
        <v>陈奕新</v>
      </c>
      <c r="E9" s="7" t="str">
        <f t="shared" si="1"/>
        <v>男</v>
      </c>
      <c r="F9" s="7"/>
    </row>
    <row r="10" spans="1:6" ht="30" customHeight="1">
      <c r="A10" s="7">
        <v>8</v>
      </c>
      <c r="B10" s="7" t="str">
        <f>"34542021112216392352018"</f>
        <v>34542021112216392352018</v>
      </c>
      <c r="C10" s="7" t="s">
        <v>7</v>
      </c>
      <c r="D10" s="7" t="str">
        <f>"吴六凤"</f>
        <v>吴六凤</v>
      </c>
      <c r="E10" s="7" t="str">
        <f aca="true" t="shared" si="2" ref="E10:E20">"女"</f>
        <v>女</v>
      </c>
      <c r="F10" s="7"/>
    </row>
    <row r="11" spans="1:6" ht="30" customHeight="1">
      <c r="A11" s="7">
        <v>9</v>
      </c>
      <c r="B11" s="7" t="str">
        <f>"34542021112217470152055"</f>
        <v>34542021112217470152055</v>
      </c>
      <c r="C11" s="7" t="s">
        <v>7</v>
      </c>
      <c r="D11" s="7" t="str">
        <f>"文随方"</f>
        <v>文随方</v>
      </c>
      <c r="E11" s="7" t="str">
        <f>"男"</f>
        <v>男</v>
      </c>
      <c r="F11" s="7"/>
    </row>
    <row r="12" spans="1:6" ht="30" customHeight="1">
      <c r="A12" s="7">
        <v>10</v>
      </c>
      <c r="B12" s="7" t="str">
        <f>"34542021112300163752184"</f>
        <v>34542021112300163752184</v>
      </c>
      <c r="C12" s="7" t="s">
        <v>7</v>
      </c>
      <c r="D12" s="7" t="str">
        <f>"王金燕"</f>
        <v>王金燕</v>
      </c>
      <c r="E12" s="7" t="str">
        <f t="shared" si="2"/>
        <v>女</v>
      </c>
      <c r="F12" s="7"/>
    </row>
    <row r="13" spans="1:6" ht="30" customHeight="1">
      <c r="A13" s="7">
        <v>11</v>
      </c>
      <c r="B13" s="7" t="str">
        <f>"34542021112317393752410"</f>
        <v>34542021112317393752410</v>
      </c>
      <c r="C13" s="7" t="s">
        <v>7</v>
      </c>
      <c r="D13" s="7" t="str">
        <f>"李秋月"</f>
        <v>李秋月</v>
      </c>
      <c r="E13" s="7" t="str">
        <f t="shared" si="2"/>
        <v>女</v>
      </c>
      <c r="F13" s="7"/>
    </row>
    <row r="14" spans="1:6" ht="30" customHeight="1">
      <c r="A14" s="7">
        <v>12</v>
      </c>
      <c r="B14" s="7" t="str">
        <f>"34542021112320312052472"</f>
        <v>34542021112320312052472</v>
      </c>
      <c r="C14" s="7" t="s">
        <v>7</v>
      </c>
      <c r="D14" s="7" t="str">
        <f>"陈应飞"</f>
        <v>陈应飞</v>
      </c>
      <c r="E14" s="7" t="str">
        <f t="shared" si="2"/>
        <v>女</v>
      </c>
      <c r="F14" s="7"/>
    </row>
    <row r="15" spans="1:6" ht="30" customHeight="1">
      <c r="A15" s="7">
        <v>13</v>
      </c>
      <c r="B15" s="7" t="str">
        <f>"34542021112420341552775"</f>
        <v>34542021112420341552775</v>
      </c>
      <c r="C15" s="7" t="s">
        <v>7</v>
      </c>
      <c r="D15" s="7" t="str">
        <f>"赵妹菊"</f>
        <v>赵妹菊</v>
      </c>
      <c r="E15" s="7" t="str">
        <f t="shared" si="2"/>
        <v>女</v>
      </c>
      <c r="F15" s="7"/>
    </row>
    <row r="16" spans="1:6" ht="30" customHeight="1">
      <c r="A16" s="7">
        <v>14</v>
      </c>
      <c r="B16" s="7" t="str">
        <f>"34542021112508480252879"</f>
        <v>34542021112508480252879</v>
      </c>
      <c r="C16" s="7" t="s">
        <v>7</v>
      </c>
      <c r="D16" s="7" t="str">
        <f>"罗霞"</f>
        <v>罗霞</v>
      </c>
      <c r="E16" s="7" t="str">
        <f t="shared" si="2"/>
        <v>女</v>
      </c>
      <c r="F16" s="7"/>
    </row>
    <row r="17" spans="1:6" ht="30" customHeight="1">
      <c r="A17" s="7">
        <v>15</v>
      </c>
      <c r="B17" s="7" t="str">
        <f>"34542021112510482552932"</f>
        <v>34542021112510482552932</v>
      </c>
      <c r="C17" s="7" t="s">
        <v>7</v>
      </c>
      <c r="D17" s="7" t="str">
        <f>"李娟"</f>
        <v>李娟</v>
      </c>
      <c r="E17" s="7" t="str">
        <f t="shared" si="2"/>
        <v>女</v>
      </c>
      <c r="F17" s="7"/>
    </row>
    <row r="18" spans="1:6" ht="30" customHeight="1">
      <c r="A18" s="7">
        <v>16</v>
      </c>
      <c r="B18" s="7" t="str">
        <f>"34542021111909112350433"</f>
        <v>34542021111909112350433</v>
      </c>
      <c r="C18" s="7" t="s">
        <v>8</v>
      </c>
      <c r="D18" s="7" t="str">
        <f>"李春爱"</f>
        <v>李春爱</v>
      </c>
      <c r="E18" s="7" t="str">
        <f t="shared" si="2"/>
        <v>女</v>
      </c>
      <c r="F18" s="7"/>
    </row>
    <row r="19" spans="1:6" ht="30" customHeight="1">
      <c r="A19" s="7">
        <v>17</v>
      </c>
      <c r="B19" s="7" t="str">
        <f>"34542021111909374150481"</f>
        <v>34542021111909374150481</v>
      </c>
      <c r="C19" s="7" t="s">
        <v>8</v>
      </c>
      <c r="D19" s="7" t="str">
        <f>"张丽花"</f>
        <v>张丽花</v>
      </c>
      <c r="E19" s="7" t="str">
        <f t="shared" si="2"/>
        <v>女</v>
      </c>
      <c r="F19" s="7"/>
    </row>
    <row r="20" spans="1:6" ht="30" customHeight="1">
      <c r="A20" s="7">
        <v>18</v>
      </c>
      <c r="B20" s="7" t="str">
        <f>"34542021111909562850507"</f>
        <v>34542021111909562850507</v>
      </c>
      <c r="C20" s="7" t="s">
        <v>8</v>
      </c>
      <c r="D20" s="7" t="str">
        <f>"王兰珠"</f>
        <v>王兰珠</v>
      </c>
      <c r="E20" s="7" t="str">
        <f t="shared" si="2"/>
        <v>女</v>
      </c>
      <c r="F20" s="7"/>
    </row>
    <row r="21" spans="1:6" ht="30" customHeight="1">
      <c r="A21" s="7">
        <v>19</v>
      </c>
      <c r="B21" s="7" t="str">
        <f>"34542021111910365450570"</f>
        <v>34542021111910365450570</v>
      </c>
      <c r="C21" s="7" t="s">
        <v>8</v>
      </c>
      <c r="D21" s="7" t="str">
        <f>"羊浩亮"</f>
        <v>羊浩亮</v>
      </c>
      <c r="E21" s="7" t="str">
        <f>"男"</f>
        <v>男</v>
      </c>
      <c r="F21" s="7"/>
    </row>
    <row r="22" spans="1:6" ht="30" customHeight="1">
      <c r="A22" s="7">
        <v>20</v>
      </c>
      <c r="B22" s="7" t="str">
        <f>"34542021111911271850645"</f>
        <v>34542021111911271850645</v>
      </c>
      <c r="C22" s="7" t="s">
        <v>8</v>
      </c>
      <c r="D22" s="7" t="str">
        <f>"张雪连"</f>
        <v>张雪连</v>
      </c>
      <c r="E22" s="7" t="str">
        <f aca="true" t="shared" si="3" ref="E22:E26">"女"</f>
        <v>女</v>
      </c>
      <c r="F22" s="7"/>
    </row>
    <row r="23" spans="1:6" ht="30" customHeight="1">
      <c r="A23" s="7">
        <v>21</v>
      </c>
      <c r="B23" s="7" t="str">
        <f>"34542021111912514850729"</f>
        <v>34542021111912514850729</v>
      </c>
      <c r="C23" s="7" t="s">
        <v>8</v>
      </c>
      <c r="D23" s="7" t="str">
        <f>"王悦"</f>
        <v>王悦</v>
      </c>
      <c r="E23" s="7" t="str">
        <f t="shared" si="3"/>
        <v>女</v>
      </c>
      <c r="F23" s="7"/>
    </row>
    <row r="24" spans="1:6" ht="30" customHeight="1">
      <c r="A24" s="7">
        <v>22</v>
      </c>
      <c r="B24" s="7" t="str">
        <f>"34542021111912542950730"</f>
        <v>34542021111912542950730</v>
      </c>
      <c r="C24" s="7" t="s">
        <v>8</v>
      </c>
      <c r="D24" s="7" t="str">
        <f>"陈鹏"</f>
        <v>陈鹏</v>
      </c>
      <c r="E24" s="7" t="str">
        <f>"男"</f>
        <v>男</v>
      </c>
      <c r="F24" s="7"/>
    </row>
    <row r="25" spans="1:6" ht="30" customHeight="1">
      <c r="A25" s="7">
        <v>23</v>
      </c>
      <c r="B25" s="7" t="str">
        <f>"34542021111913402150761"</f>
        <v>34542021111913402150761</v>
      </c>
      <c r="C25" s="7" t="s">
        <v>8</v>
      </c>
      <c r="D25" s="7" t="str">
        <f>"陈晓珍"</f>
        <v>陈晓珍</v>
      </c>
      <c r="E25" s="7" t="str">
        <f t="shared" si="3"/>
        <v>女</v>
      </c>
      <c r="F25" s="7"/>
    </row>
    <row r="26" spans="1:6" ht="30" customHeight="1">
      <c r="A26" s="7">
        <v>24</v>
      </c>
      <c r="B26" s="7" t="str">
        <f>"34542021111913435050766"</f>
        <v>34542021111913435050766</v>
      </c>
      <c r="C26" s="7" t="s">
        <v>8</v>
      </c>
      <c r="D26" s="7" t="str">
        <f>"林有李"</f>
        <v>林有李</v>
      </c>
      <c r="E26" s="7" t="str">
        <f t="shared" si="3"/>
        <v>女</v>
      </c>
      <c r="F26" s="7"/>
    </row>
    <row r="27" spans="1:6" ht="30" customHeight="1">
      <c r="A27" s="7">
        <v>25</v>
      </c>
      <c r="B27" s="7" t="str">
        <f>"34542021111915581250893"</f>
        <v>34542021111915581250893</v>
      </c>
      <c r="C27" s="7" t="s">
        <v>8</v>
      </c>
      <c r="D27" s="7" t="str">
        <f>"梁庆豹"</f>
        <v>梁庆豹</v>
      </c>
      <c r="E27" s="7" t="str">
        <f>"男"</f>
        <v>男</v>
      </c>
      <c r="F27" s="7"/>
    </row>
    <row r="28" spans="1:6" ht="30" customHeight="1">
      <c r="A28" s="7">
        <v>26</v>
      </c>
      <c r="B28" s="7" t="str">
        <f>"34542021111918445850992"</f>
        <v>34542021111918445850992</v>
      </c>
      <c r="C28" s="7" t="s">
        <v>8</v>
      </c>
      <c r="D28" s="7" t="str">
        <f>"吴婉桃"</f>
        <v>吴婉桃</v>
      </c>
      <c r="E28" s="7" t="str">
        <f aca="true" t="shared" si="4" ref="E28:E33">"女"</f>
        <v>女</v>
      </c>
      <c r="F28" s="7"/>
    </row>
    <row r="29" spans="1:6" ht="30" customHeight="1">
      <c r="A29" s="7">
        <v>27</v>
      </c>
      <c r="B29" s="7" t="str">
        <f>"34542021111919164351013"</f>
        <v>34542021111919164351013</v>
      </c>
      <c r="C29" s="7" t="s">
        <v>8</v>
      </c>
      <c r="D29" s="7" t="str">
        <f>"陈晓鹦"</f>
        <v>陈晓鹦</v>
      </c>
      <c r="E29" s="7" t="str">
        <f t="shared" si="4"/>
        <v>女</v>
      </c>
      <c r="F29" s="7"/>
    </row>
    <row r="30" spans="1:6" ht="30" customHeight="1">
      <c r="A30" s="7">
        <v>28</v>
      </c>
      <c r="B30" s="7" t="str">
        <f>"34542021111922373351117"</f>
        <v>34542021111922373351117</v>
      </c>
      <c r="C30" s="7" t="s">
        <v>8</v>
      </c>
      <c r="D30" s="7" t="str">
        <f>"曾鸾君"</f>
        <v>曾鸾君</v>
      </c>
      <c r="E30" s="7" t="str">
        <f t="shared" si="4"/>
        <v>女</v>
      </c>
      <c r="F30" s="7"/>
    </row>
    <row r="31" spans="1:6" ht="30" customHeight="1">
      <c r="A31" s="7">
        <v>29</v>
      </c>
      <c r="B31" s="7" t="str">
        <f>"34542021112011134251215"</f>
        <v>34542021112011134251215</v>
      </c>
      <c r="C31" s="7" t="s">
        <v>8</v>
      </c>
      <c r="D31" s="7" t="str">
        <f>"周琼花"</f>
        <v>周琼花</v>
      </c>
      <c r="E31" s="7" t="str">
        <f t="shared" si="4"/>
        <v>女</v>
      </c>
      <c r="F31" s="7"/>
    </row>
    <row r="32" spans="1:6" ht="30" customHeight="1">
      <c r="A32" s="7">
        <v>30</v>
      </c>
      <c r="B32" s="7" t="str">
        <f>"34542021112014030451275"</f>
        <v>34542021112014030451275</v>
      </c>
      <c r="C32" s="7" t="s">
        <v>8</v>
      </c>
      <c r="D32" s="7" t="str">
        <f>"李兰英"</f>
        <v>李兰英</v>
      </c>
      <c r="E32" s="7" t="str">
        <f t="shared" si="4"/>
        <v>女</v>
      </c>
      <c r="F32" s="7"/>
    </row>
    <row r="33" spans="1:6" ht="30" customHeight="1">
      <c r="A33" s="7">
        <v>31</v>
      </c>
      <c r="B33" s="7" t="str">
        <f>"34542021112017413651341"</f>
        <v>34542021112017413651341</v>
      </c>
      <c r="C33" s="7" t="s">
        <v>8</v>
      </c>
      <c r="D33" s="7" t="str">
        <f>"王丽华"</f>
        <v>王丽华</v>
      </c>
      <c r="E33" s="7" t="str">
        <f t="shared" si="4"/>
        <v>女</v>
      </c>
      <c r="F33" s="7"/>
    </row>
    <row r="34" spans="1:6" ht="30" customHeight="1">
      <c r="A34" s="7">
        <v>32</v>
      </c>
      <c r="B34" s="7" t="str">
        <f>"34542021112109380751477"</f>
        <v>34542021112109380751477</v>
      </c>
      <c r="C34" s="7" t="s">
        <v>8</v>
      </c>
      <c r="D34" s="7" t="str">
        <f>"陈博"</f>
        <v>陈博</v>
      </c>
      <c r="E34" s="7" t="str">
        <f aca="true" t="shared" si="5" ref="E34:E37">"男"</f>
        <v>男</v>
      </c>
      <c r="F34" s="7"/>
    </row>
    <row r="35" spans="1:6" ht="30" customHeight="1">
      <c r="A35" s="7">
        <v>33</v>
      </c>
      <c r="B35" s="7" t="str">
        <f>"34542021112113434651561"</f>
        <v>34542021112113434651561</v>
      </c>
      <c r="C35" s="7" t="s">
        <v>8</v>
      </c>
      <c r="D35" s="7" t="str">
        <f>"詹其多"</f>
        <v>詹其多</v>
      </c>
      <c r="E35" s="7" t="str">
        <f t="shared" si="5"/>
        <v>男</v>
      </c>
      <c r="F35" s="7"/>
    </row>
    <row r="36" spans="1:6" ht="30" customHeight="1">
      <c r="A36" s="7">
        <v>34</v>
      </c>
      <c r="B36" s="7" t="str">
        <f>"34542021112115015751574"</f>
        <v>34542021112115015751574</v>
      </c>
      <c r="C36" s="7" t="s">
        <v>8</v>
      </c>
      <c r="D36" s="7" t="str">
        <f>"郑学妍"</f>
        <v>郑学妍</v>
      </c>
      <c r="E36" s="7" t="str">
        <f aca="true" t="shared" si="6" ref="E36:E49">"女"</f>
        <v>女</v>
      </c>
      <c r="F36" s="7"/>
    </row>
    <row r="37" spans="1:6" ht="30" customHeight="1">
      <c r="A37" s="7">
        <v>35</v>
      </c>
      <c r="B37" s="7" t="str">
        <f>"34542021112115171951579"</f>
        <v>34542021112115171951579</v>
      </c>
      <c r="C37" s="7" t="s">
        <v>8</v>
      </c>
      <c r="D37" s="7" t="str">
        <f>"张陵江"</f>
        <v>张陵江</v>
      </c>
      <c r="E37" s="7" t="str">
        <f t="shared" si="5"/>
        <v>男</v>
      </c>
      <c r="F37" s="7"/>
    </row>
    <row r="38" spans="1:6" ht="30" customHeight="1">
      <c r="A38" s="7">
        <v>36</v>
      </c>
      <c r="B38" s="7" t="str">
        <f>"34542021112116363351600"</f>
        <v>34542021112116363351600</v>
      </c>
      <c r="C38" s="7" t="s">
        <v>8</v>
      </c>
      <c r="D38" s="7" t="str">
        <f>"蔡苏姗"</f>
        <v>蔡苏姗</v>
      </c>
      <c r="E38" s="7" t="str">
        <f t="shared" si="6"/>
        <v>女</v>
      </c>
      <c r="F38" s="7"/>
    </row>
    <row r="39" spans="1:6" ht="30" customHeight="1">
      <c r="A39" s="7">
        <v>37</v>
      </c>
      <c r="B39" s="7" t="str">
        <f>"34542021112118281351640"</f>
        <v>34542021112118281351640</v>
      </c>
      <c r="C39" s="7" t="s">
        <v>8</v>
      </c>
      <c r="D39" s="7" t="str">
        <f>"苏丽娉"</f>
        <v>苏丽娉</v>
      </c>
      <c r="E39" s="7" t="str">
        <f t="shared" si="6"/>
        <v>女</v>
      </c>
      <c r="F39" s="7"/>
    </row>
    <row r="40" spans="1:6" ht="30" customHeight="1">
      <c r="A40" s="7">
        <v>38</v>
      </c>
      <c r="B40" s="7" t="str">
        <f>"34542021112121365351697"</f>
        <v>34542021112121365351697</v>
      </c>
      <c r="C40" s="7" t="s">
        <v>8</v>
      </c>
      <c r="D40" s="7" t="str">
        <f>"蒲昭昭"</f>
        <v>蒲昭昭</v>
      </c>
      <c r="E40" s="7" t="str">
        <f t="shared" si="6"/>
        <v>女</v>
      </c>
      <c r="F40" s="7"/>
    </row>
    <row r="41" spans="1:6" ht="30" customHeight="1">
      <c r="A41" s="7">
        <v>39</v>
      </c>
      <c r="B41" s="7" t="str">
        <f>"34542021112121564251705"</f>
        <v>34542021112121564251705</v>
      </c>
      <c r="C41" s="7" t="s">
        <v>8</v>
      </c>
      <c r="D41" s="7" t="str">
        <f>"林于金"</f>
        <v>林于金</v>
      </c>
      <c r="E41" s="7" t="str">
        <f t="shared" si="6"/>
        <v>女</v>
      </c>
      <c r="F41" s="7"/>
    </row>
    <row r="42" spans="1:6" ht="30" customHeight="1">
      <c r="A42" s="7">
        <v>40</v>
      </c>
      <c r="B42" s="7" t="str">
        <f>"34542021112200434251731"</f>
        <v>34542021112200434251731</v>
      </c>
      <c r="C42" s="7" t="s">
        <v>8</v>
      </c>
      <c r="D42" s="7" t="str">
        <f>"许青霞"</f>
        <v>许青霞</v>
      </c>
      <c r="E42" s="7" t="str">
        <f t="shared" si="6"/>
        <v>女</v>
      </c>
      <c r="F42" s="7"/>
    </row>
    <row r="43" spans="1:6" ht="30" customHeight="1">
      <c r="A43" s="7">
        <v>41</v>
      </c>
      <c r="B43" s="7" t="str">
        <f>"34542021112213195251919"</f>
        <v>34542021112213195251919</v>
      </c>
      <c r="C43" s="7" t="s">
        <v>8</v>
      </c>
      <c r="D43" s="7" t="str">
        <f>"王小丹"</f>
        <v>王小丹</v>
      </c>
      <c r="E43" s="7" t="str">
        <f t="shared" si="6"/>
        <v>女</v>
      </c>
      <c r="F43" s="7"/>
    </row>
    <row r="44" spans="1:6" ht="30" customHeight="1">
      <c r="A44" s="7">
        <v>42</v>
      </c>
      <c r="B44" s="7" t="str">
        <f>"34542021112221341452137"</f>
        <v>34542021112221341452137</v>
      </c>
      <c r="C44" s="7" t="s">
        <v>8</v>
      </c>
      <c r="D44" s="7" t="str">
        <f>"陈丽春"</f>
        <v>陈丽春</v>
      </c>
      <c r="E44" s="7" t="str">
        <f t="shared" si="6"/>
        <v>女</v>
      </c>
      <c r="F44" s="7"/>
    </row>
    <row r="45" spans="1:6" ht="30" customHeight="1">
      <c r="A45" s="7">
        <v>43</v>
      </c>
      <c r="B45" s="7" t="str">
        <f>"34542021112223305652177"</f>
        <v>34542021112223305652177</v>
      </c>
      <c r="C45" s="7" t="s">
        <v>8</v>
      </c>
      <c r="D45" s="7" t="str">
        <f>"陈梅初"</f>
        <v>陈梅初</v>
      </c>
      <c r="E45" s="7" t="str">
        <f t="shared" si="6"/>
        <v>女</v>
      </c>
      <c r="F45" s="7"/>
    </row>
    <row r="46" spans="1:6" ht="30" customHeight="1">
      <c r="A46" s="7">
        <v>44</v>
      </c>
      <c r="B46" s="7" t="str">
        <f>"34542021112310081852228"</f>
        <v>34542021112310081852228</v>
      </c>
      <c r="C46" s="7" t="s">
        <v>8</v>
      </c>
      <c r="D46" s="7" t="str">
        <f>"王学妃"</f>
        <v>王学妃</v>
      </c>
      <c r="E46" s="7" t="str">
        <f t="shared" si="6"/>
        <v>女</v>
      </c>
      <c r="F46" s="7"/>
    </row>
    <row r="47" spans="1:6" ht="30" customHeight="1">
      <c r="A47" s="7">
        <v>45</v>
      </c>
      <c r="B47" s="7" t="str">
        <f>"34542021112310153452232"</f>
        <v>34542021112310153452232</v>
      </c>
      <c r="C47" s="7" t="s">
        <v>8</v>
      </c>
      <c r="D47" s="7" t="str">
        <f>"邓靖欣"</f>
        <v>邓靖欣</v>
      </c>
      <c r="E47" s="7" t="str">
        <f t="shared" si="6"/>
        <v>女</v>
      </c>
      <c r="F47" s="7"/>
    </row>
    <row r="48" spans="1:6" ht="30" customHeight="1">
      <c r="A48" s="7">
        <v>46</v>
      </c>
      <c r="B48" s="7" t="str">
        <f>"34542021112314571452329"</f>
        <v>34542021112314571452329</v>
      </c>
      <c r="C48" s="7" t="s">
        <v>8</v>
      </c>
      <c r="D48" s="7" t="str">
        <f>"符诗敏"</f>
        <v>符诗敏</v>
      </c>
      <c r="E48" s="7" t="str">
        <f t="shared" si="6"/>
        <v>女</v>
      </c>
      <c r="F48" s="7"/>
    </row>
    <row r="49" spans="1:6" ht="30" customHeight="1">
      <c r="A49" s="7">
        <v>47</v>
      </c>
      <c r="B49" s="7" t="str">
        <f>"34542021112319521752457"</f>
        <v>34542021112319521752457</v>
      </c>
      <c r="C49" s="7" t="s">
        <v>8</v>
      </c>
      <c r="D49" s="7" t="str">
        <f>"陈丽花"</f>
        <v>陈丽花</v>
      </c>
      <c r="E49" s="7" t="str">
        <f t="shared" si="6"/>
        <v>女</v>
      </c>
      <c r="F49" s="7"/>
    </row>
    <row r="50" spans="1:6" ht="30" customHeight="1">
      <c r="A50" s="7">
        <v>48</v>
      </c>
      <c r="B50" s="7" t="str">
        <f>"34542021112320354952475"</f>
        <v>34542021112320354952475</v>
      </c>
      <c r="C50" s="7" t="s">
        <v>8</v>
      </c>
      <c r="D50" s="7" t="str">
        <f>"岑运楠"</f>
        <v>岑运楠</v>
      </c>
      <c r="E50" s="7" t="str">
        <f>"男"</f>
        <v>男</v>
      </c>
      <c r="F50" s="7"/>
    </row>
    <row r="51" spans="1:6" ht="30" customHeight="1">
      <c r="A51" s="7">
        <v>49</v>
      </c>
      <c r="B51" s="7" t="str">
        <f>"34542021112323494752528"</f>
        <v>34542021112323494752528</v>
      </c>
      <c r="C51" s="7" t="s">
        <v>8</v>
      </c>
      <c r="D51" s="7" t="str">
        <f>"谢文艳"</f>
        <v>谢文艳</v>
      </c>
      <c r="E51" s="7" t="str">
        <f aca="true" t="shared" si="7" ref="E51:E56">"女"</f>
        <v>女</v>
      </c>
      <c r="F51" s="7"/>
    </row>
    <row r="52" spans="1:6" ht="30" customHeight="1">
      <c r="A52" s="7">
        <v>50</v>
      </c>
      <c r="B52" s="7" t="str">
        <f>"34542021112408424652552"</f>
        <v>34542021112408424652552</v>
      </c>
      <c r="C52" s="7" t="s">
        <v>8</v>
      </c>
      <c r="D52" s="7" t="str">
        <f>"陈琼林"</f>
        <v>陈琼林</v>
      </c>
      <c r="E52" s="7" t="str">
        <f t="shared" si="7"/>
        <v>女</v>
      </c>
      <c r="F52" s="7"/>
    </row>
    <row r="53" spans="1:6" ht="30" customHeight="1">
      <c r="A53" s="7">
        <v>51</v>
      </c>
      <c r="B53" s="7" t="str">
        <f>"34542021112411301352615"</f>
        <v>34542021112411301352615</v>
      </c>
      <c r="C53" s="7" t="s">
        <v>8</v>
      </c>
      <c r="D53" s="7" t="str">
        <f>"莫金丽"</f>
        <v>莫金丽</v>
      </c>
      <c r="E53" s="7" t="str">
        <f t="shared" si="7"/>
        <v>女</v>
      </c>
      <c r="F53" s="7"/>
    </row>
    <row r="54" spans="1:6" ht="30" customHeight="1">
      <c r="A54" s="7">
        <v>52</v>
      </c>
      <c r="B54" s="7" t="str">
        <f>"34542021112412210852635"</f>
        <v>34542021112412210852635</v>
      </c>
      <c r="C54" s="7" t="s">
        <v>8</v>
      </c>
      <c r="D54" s="7" t="str">
        <f>"陈静"</f>
        <v>陈静</v>
      </c>
      <c r="E54" s="7" t="str">
        <f t="shared" si="7"/>
        <v>女</v>
      </c>
      <c r="F54" s="7"/>
    </row>
    <row r="55" spans="1:6" ht="30" customHeight="1">
      <c r="A55" s="7">
        <v>53</v>
      </c>
      <c r="B55" s="7" t="str">
        <f>"34542021112416583352700"</f>
        <v>34542021112416583352700</v>
      </c>
      <c r="C55" s="7" t="s">
        <v>8</v>
      </c>
      <c r="D55" s="7" t="str">
        <f>"陈冠佩"</f>
        <v>陈冠佩</v>
      </c>
      <c r="E55" s="7" t="str">
        <f t="shared" si="7"/>
        <v>女</v>
      </c>
      <c r="F55" s="7"/>
    </row>
    <row r="56" spans="1:6" ht="30" customHeight="1">
      <c r="A56" s="7">
        <v>54</v>
      </c>
      <c r="B56" s="7" t="str">
        <f>"34542021112418085052714"</f>
        <v>34542021112418085052714</v>
      </c>
      <c r="C56" s="7" t="s">
        <v>8</v>
      </c>
      <c r="D56" s="7" t="str">
        <f>"陈慧敏"</f>
        <v>陈慧敏</v>
      </c>
      <c r="E56" s="7" t="str">
        <f t="shared" si="7"/>
        <v>女</v>
      </c>
      <c r="F56" s="7"/>
    </row>
    <row r="57" spans="1:6" ht="30" customHeight="1">
      <c r="A57" s="7">
        <v>55</v>
      </c>
      <c r="B57" s="7" t="str">
        <f>"34542021112418173252717"</f>
        <v>34542021112418173252717</v>
      </c>
      <c r="C57" s="7" t="s">
        <v>8</v>
      </c>
      <c r="D57" s="7" t="str">
        <f>"卢启学"</f>
        <v>卢启学</v>
      </c>
      <c r="E57" s="7" t="str">
        <f>"男"</f>
        <v>男</v>
      </c>
      <c r="F57" s="7"/>
    </row>
    <row r="58" spans="1:6" ht="30" customHeight="1">
      <c r="A58" s="7">
        <v>56</v>
      </c>
      <c r="B58" s="7" t="str">
        <f>"34542021112419583252762"</f>
        <v>34542021112419583252762</v>
      </c>
      <c r="C58" s="7" t="s">
        <v>8</v>
      </c>
      <c r="D58" s="7" t="str">
        <f>"陈君强"</f>
        <v>陈君强</v>
      </c>
      <c r="E58" s="7" t="str">
        <f aca="true" t="shared" si="8" ref="E58:E61">"女"</f>
        <v>女</v>
      </c>
      <c r="F58" s="7"/>
    </row>
    <row r="59" spans="1:6" ht="30" customHeight="1">
      <c r="A59" s="7">
        <v>57</v>
      </c>
      <c r="B59" s="7" t="str">
        <f>"34542021112423300352845"</f>
        <v>34542021112423300352845</v>
      </c>
      <c r="C59" s="7" t="s">
        <v>8</v>
      </c>
      <c r="D59" s="7" t="str">
        <f>"文姓韵"</f>
        <v>文姓韵</v>
      </c>
      <c r="E59" s="7" t="str">
        <f t="shared" si="8"/>
        <v>女</v>
      </c>
      <c r="F59" s="7"/>
    </row>
    <row r="60" spans="1:6" ht="30" customHeight="1">
      <c r="A60" s="7">
        <v>58</v>
      </c>
      <c r="B60" s="7" t="str">
        <f>"34542021112423361552847"</f>
        <v>34542021112423361552847</v>
      </c>
      <c r="C60" s="7" t="s">
        <v>8</v>
      </c>
      <c r="D60" s="7" t="str">
        <f>"李征香"</f>
        <v>李征香</v>
      </c>
      <c r="E60" s="7" t="str">
        <f t="shared" si="8"/>
        <v>女</v>
      </c>
      <c r="F60" s="7"/>
    </row>
    <row r="61" spans="1:6" ht="30" customHeight="1">
      <c r="A61" s="7">
        <v>59</v>
      </c>
      <c r="B61" s="7" t="str">
        <f>"34542021111916564950953"</f>
        <v>34542021111916564950953</v>
      </c>
      <c r="C61" s="7" t="s">
        <v>9</v>
      </c>
      <c r="D61" s="7" t="str">
        <f>"梁燕"</f>
        <v>梁燕</v>
      </c>
      <c r="E61" s="7" t="str">
        <f t="shared" si="8"/>
        <v>女</v>
      </c>
      <c r="F61" s="7"/>
    </row>
    <row r="62" spans="1:6" ht="30" customHeight="1">
      <c r="A62" s="7">
        <v>60</v>
      </c>
      <c r="B62" s="7" t="str">
        <f>"34542021112000532951143"</f>
        <v>34542021112000532951143</v>
      </c>
      <c r="C62" s="7" t="s">
        <v>9</v>
      </c>
      <c r="D62" s="7" t="str">
        <f>"符锡常"</f>
        <v>符锡常</v>
      </c>
      <c r="E62" s="7" t="str">
        <f aca="true" t="shared" si="9" ref="E62:E67">"男"</f>
        <v>男</v>
      </c>
      <c r="F62" s="7"/>
    </row>
    <row r="63" spans="1:6" ht="30" customHeight="1">
      <c r="A63" s="7">
        <v>61</v>
      </c>
      <c r="B63" s="7" t="str">
        <f>"34542021112016465251322"</f>
        <v>34542021112016465251322</v>
      </c>
      <c r="C63" s="7" t="s">
        <v>9</v>
      </c>
      <c r="D63" s="7" t="str">
        <f>"冯明平"</f>
        <v>冯明平</v>
      </c>
      <c r="E63" s="7" t="str">
        <f t="shared" si="9"/>
        <v>男</v>
      </c>
      <c r="F63" s="7"/>
    </row>
    <row r="64" spans="1:6" ht="30" customHeight="1">
      <c r="A64" s="7">
        <v>62</v>
      </c>
      <c r="B64" s="7" t="str">
        <f>"34542021112112454151538"</f>
        <v>34542021112112454151538</v>
      </c>
      <c r="C64" s="7" t="s">
        <v>9</v>
      </c>
      <c r="D64" s="7" t="str">
        <f>" 林琼春"</f>
        <v> 林琼春</v>
      </c>
      <c r="E64" s="7" t="str">
        <f aca="true" t="shared" si="10" ref="E64:E66">"女"</f>
        <v>女</v>
      </c>
      <c r="F64" s="7"/>
    </row>
    <row r="65" spans="1:6" ht="30" customHeight="1">
      <c r="A65" s="7">
        <v>63</v>
      </c>
      <c r="B65" s="7" t="str">
        <f>"34542021112209040751755"</f>
        <v>34542021112209040751755</v>
      </c>
      <c r="C65" s="7" t="s">
        <v>9</v>
      </c>
      <c r="D65" s="7" t="str">
        <f>"李有娜"</f>
        <v>李有娜</v>
      </c>
      <c r="E65" s="7" t="str">
        <f t="shared" si="10"/>
        <v>女</v>
      </c>
      <c r="F65" s="7"/>
    </row>
    <row r="66" spans="1:6" ht="30" customHeight="1">
      <c r="A66" s="7">
        <v>64</v>
      </c>
      <c r="B66" s="7" t="str">
        <f>"34542021112209260951779"</f>
        <v>34542021112209260951779</v>
      </c>
      <c r="C66" s="7" t="s">
        <v>9</v>
      </c>
      <c r="D66" s="7" t="str">
        <f>"廖学晶"</f>
        <v>廖学晶</v>
      </c>
      <c r="E66" s="7" t="str">
        <f t="shared" si="10"/>
        <v>女</v>
      </c>
      <c r="F66" s="7"/>
    </row>
    <row r="67" spans="1:6" ht="30" customHeight="1">
      <c r="A67" s="7">
        <v>65</v>
      </c>
      <c r="B67" s="7" t="str">
        <f>"34542021112210350351840"</f>
        <v>34542021112210350351840</v>
      </c>
      <c r="C67" s="7" t="s">
        <v>9</v>
      </c>
      <c r="D67" s="7" t="str">
        <f>"许鹏科"</f>
        <v>许鹏科</v>
      </c>
      <c r="E67" s="7" t="str">
        <f t="shared" si="9"/>
        <v>男</v>
      </c>
      <c r="F67" s="7"/>
    </row>
    <row r="68" spans="1:6" ht="30" customHeight="1">
      <c r="A68" s="7">
        <v>66</v>
      </c>
      <c r="B68" s="7" t="str">
        <f>"34542021112210364751844"</f>
        <v>34542021112210364751844</v>
      </c>
      <c r="C68" s="7" t="s">
        <v>9</v>
      </c>
      <c r="D68" s="7" t="str">
        <f>"李汝元"</f>
        <v>李汝元</v>
      </c>
      <c r="E68" s="7" t="str">
        <f>"女"</f>
        <v>女</v>
      </c>
      <c r="F68" s="7"/>
    </row>
    <row r="69" spans="1:6" ht="30" customHeight="1">
      <c r="A69" s="7">
        <v>67</v>
      </c>
      <c r="B69" s="7" t="str">
        <f>"34542021112416161052687"</f>
        <v>34542021112416161052687</v>
      </c>
      <c r="C69" s="7" t="s">
        <v>9</v>
      </c>
      <c r="D69" s="7" t="str">
        <f>"梁灵婕"</f>
        <v>梁灵婕</v>
      </c>
      <c r="E69" s="7" t="str">
        <f>"女"</f>
        <v>女</v>
      </c>
      <c r="F69" s="7"/>
    </row>
    <row r="70" spans="1:6" ht="30" customHeight="1">
      <c r="A70" s="7">
        <v>68</v>
      </c>
      <c r="B70" s="7" t="str">
        <f>"34542021111909175450445"</f>
        <v>34542021111909175450445</v>
      </c>
      <c r="C70" s="7" t="s">
        <v>10</v>
      </c>
      <c r="D70" s="7" t="str">
        <f>"邢曾胜"</f>
        <v>邢曾胜</v>
      </c>
      <c r="E70" s="7" t="str">
        <f>"男"</f>
        <v>男</v>
      </c>
      <c r="F70" s="7"/>
    </row>
    <row r="71" spans="1:6" ht="30" customHeight="1">
      <c r="A71" s="7">
        <v>69</v>
      </c>
      <c r="B71" s="7" t="str">
        <f>"34542021111909350850476"</f>
        <v>34542021111909350850476</v>
      </c>
      <c r="C71" s="7" t="s">
        <v>10</v>
      </c>
      <c r="D71" s="7" t="str">
        <f>"张春秋"</f>
        <v>张春秋</v>
      </c>
      <c r="E71" s="7" t="str">
        <f>"女"</f>
        <v>女</v>
      </c>
      <c r="F71" s="7"/>
    </row>
    <row r="72" spans="1:6" ht="30" customHeight="1">
      <c r="A72" s="7">
        <v>70</v>
      </c>
      <c r="B72" s="7" t="str">
        <f>"34542021111909585150511"</f>
        <v>34542021111909585150511</v>
      </c>
      <c r="C72" s="7" t="s">
        <v>10</v>
      </c>
      <c r="D72" s="7" t="str">
        <f>"云金玉"</f>
        <v>云金玉</v>
      </c>
      <c r="E72" s="7" t="str">
        <f>"女"</f>
        <v>女</v>
      </c>
      <c r="F72" s="7"/>
    </row>
    <row r="73" spans="1:6" ht="30" customHeight="1">
      <c r="A73" s="7">
        <v>71</v>
      </c>
      <c r="B73" s="7" t="str">
        <f>"34542021111910453450590"</f>
        <v>34542021111910453450590</v>
      </c>
      <c r="C73" s="7" t="s">
        <v>10</v>
      </c>
      <c r="D73" s="7" t="str">
        <f>"陆以培"</f>
        <v>陆以培</v>
      </c>
      <c r="E73" s="7" t="str">
        <f aca="true" t="shared" si="11" ref="E73:E76">"男"</f>
        <v>男</v>
      </c>
      <c r="F73" s="7"/>
    </row>
    <row r="74" spans="1:6" ht="30" customHeight="1">
      <c r="A74" s="7">
        <v>72</v>
      </c>
      <c r="B74" s="7" t="str">
        <f>"34542021111912401150717"</f>
        <v>34542021111912401150717</v>
      </c>
      <c r="C74" s="7" t="s">
        <v>10</v>
      </c>
      <c r="D74" s="7" t="str">
        <f>"唐侯庚"</f>
        <v>唐侯庚</v>
      </c>
      <c r="E74" s="7" t="str">
        <f t="shared" si="11"/>
        <v>男</v>
      </c>
      <c r="F74" s="7"/>
    </row>
    <row r="75" spans="1:6" ht="30" customHeight="1">
      <c r="A75" s="7">
        <v>73</v>
      </c>
      <c r="B75" s="7" t="str">
        <f>"34542021111913590550779"</f>
        <v>34542021111913590550779</v>
      </c>
      <c r="C75" s="7" t="s">
        <v>10</v>
      </c>
      <c r="D75" s="7" t="str">
        <f>"李爱民"</f>
        <v>李爱民</v>
      </c>
      <c r="E75" s="7" t="str">
        <f aca="true" t="shared" si="12" ref="E75:E88">"女"</f>
        <v>女</v>
      </c>
      <c r="F75" s="7"/>
    </row>
    <row r="76" spans="1:6" ht="30" customHeight="1">
      <c r="A76" s="7">
        <v>74</v>
      </c>
      <c r="B76" s="7" t="str">
        <f>"34542021111914462950813"</f>
        <v>34542021111914462950813</v>
      </c>
      <c r="C76" s="7" t="s">
        <v>10</v>
      </c>
      <c r="D76" s="7" t="str">
        <f>"谢奇彪"</f>
        <v>谢奇彪</v>
      </c>
      <c r="E76" s="7" t="str">
        <f t="shared" si="11"/>
        <v>男</v>
      </c>
      <c r="F76" s="7"/>
    </row>
    <row r="77" spans="1:6" ht="30" customHeight="1">
      <c r="A77" s="7">
        <v>75</v>
      </c>
      <c r="B77" s="7" t="str">
        <f>"34542021111915204050845"</f>
        <v>34542021111915204050845</v>
      </c>
      <c r="C77" s="7" t="s">
        <v>10</v>
      </c>
      <c r="D77" s="7" t="str">
        <f>"李雪"</f>
        <v>李雪</v>
      </c>
      <c r="E77" s="7" t="str">
        <f t="shared" si="12"/>
        <v>女</v>
      </c>
      <c r="F77" s="7"/>
    </row>
    <row r="78" spans="1:6" ht="30" customHeight="1">
      <c r="A78" s="7">
        <v>76</v>
      </c>
      <c r="B78" s="7" t="str">
        <f>"34542021111915563850889"</f>
        <v>34542021111915563850889</v>
      </c>
      <c r="C78" s="7" t="s">
        <v>10</v>
      </c>
      <c r="D78" s="7" t="str">
        <f>"石珠爱"</f>
        <v>石珠爱</v>
      </c>
      <c r="E78" s="7" t="str">
        <f t="shared" si="12"/>
        <v>女</v>
      </c>
      <c r="F78" s="7"/>
    </row>
    <row r="79" spans="1:6" ht="30" customHeight="1">
      <c r="A79" s="7">
        <v>77</v>
      </c>
      <c r="B79" s="7" t="str">
        <f>"34542021111918303250988"</f>
        <v>34542021111918303250988</v>
      </c>
      <c r="C79" s="7" t="s">
        <v>10</v>
      </c>
      <c r="D79" s="7" t="str">
        <f>"许露水"</f>
        <v>许露水</v>
      </c>
      <c r="E79" s="7" t="str">
        <f t="shared" si="12"/>
        <v>女</v>
      </c>
      <c r="F79" s="7"/>
    </row>
    <row r="80" spans="1:6" ht="30" customHeight="1">
      <c r="A80" s="7">
        <v>78</v>
      </c>
      <c r="B80" s="7" t="str">
        <f>"34542021111919335451021"</f>
        <v>34542021111919335451021</v>
      </c>
      <c r="C80" s="7" t="s">
        <v>10</v>
      </c>
      <c r="D80" s="7" t="str">
        <f>"侯雪蓓"</f>
        <v>侯雪蓓</v>
      </c>
      <c r="E80" s="7" t="str">
        <f t="shared" si="12"/>
        <v>女</v>
      </c>
      <c r="F80" s="7"/>
    </row>
    <row r="81" spans="1:6" ht="30" customHeight="1">
      <c r="A81" s="7">
        <v>79</v>
      </c>
      <c r="B81" s="7" t="str">
        <f>"34542021111920192251042"</f>
        <v>34542021111920192251042</v>
      </c>
      <c r="C81" s="7" t="s">
        <v>10</v>
      </c>
      <c r="D81" s="7" t="str">
        <f>"邓琼英"</f>
        <v>邓琼英</v>
      </c>
      <c r="E81" s="7" t="str">
        <f t="shared" si="12"/>
        <v>女</v>
      </c>
      <c r="F81" s="7"/>
    </row>
    <row r="82" spans="1:6" ht="30" customHeight="1">
      <c r="A82" s="7">
        <v>80</v>
      </c>
      <c r="B82" s="7" t="str">
        <f>"34542021112010153951186"</f>
        <v>34542021112010153951186</v>
      </c>
      <c r="C82" s="7" t="s">
        <v>10</v>
      </c>
      <c r="D82" s="7" t="str">
        <f>"马晶莹"</f>
        <v>马晶莹</v>
      </c>
      <c r="E82" s="7" t="str">
        <f t="shared" si="12"/>
        <v>女</v>
      </c>
      <c r="F82" s="7"/>
    </row>
    <row r="83" spans="1:6" ht="30" customHeight="1">
      <c r="A83" s="7">
        <v>81</v>
      </c>
      <c r="B83" s="7" t="str">
        <f>"34542021112011392851227"</f>
        <v>34542021112011392851227</v>
      </c>
      <c r="C83" s="7" t="s">
        <v>10</v>
      </c>
      <c r="D83" s="7" t="str">
        <f>"陈小佳"</f>
        <v>陈小佳</v>
      </c>
      <c r="E83" s="7" t="str">
        <f t="shared" si="12"/>
        <v>女</v>
      </c>
      <c r="F83" s="7"/>
    </row>
    <row r="84" spans="1:6" ht="30" customHeight="1">
      <c r="A84" s="7">
        <v>82</v>
      </c>
      <c r="B84" s="7" t="str">
        <f>"34542021112014521451291"</f>
        <v>34542021112014521451291</v>
      </c>
      <c r="C84" s="7" t="s">
        <v>10</v>
      </c>
      <c r="D84" s="7" t="str">
        <f>"张春英"</f>
        <v>张春英</v>
      </c>
      <c r="E84" s="7" t="str">
        <f t="shared" si="12"/>
        <v>女</v>
      </c>
      <c r="F84" s="7"/>
    </row>
    <row r="85" spans="1:6" ht="30" customHeight="1">
      <c r="A85" s="7">
        <v>83</v>
      </c>
      <c r="B85" s="7" t="str">
        <f>"34542021112018361051360"</f>
        <v>34542021112018361051360</v>
      </c>
      <c r="C85" s="7" t="s">
        <v>10</v>
      </c>
      <c r="D85" s="7" t="str">
        <f>"云蓓娴"</f>
        <v>云蓓娴</v>
      </c>
      <c r="E85" s="7" t="str">
        <f t="shared" si="12"/>
        <v>女</v>
      </c>
      <c r="F85" s="7"/>
    </row>
    <row r="86" spans="1:6" ht="30" customHeight="1">
      <c r="A86" s="7">
        <v>84</v>
      </c>
      <c r="B86" s="7" t="str">
        <f>"34542021112021321051416"</f>
        <v>34542021112021321051416</v>
      </c>
      <c r="C86" s="7" t="s">
        <v>10</v>
      </c>
      <c r="D86" s="7" t="str">
        <f>"温慈"</f>
        <v>温慈</v>
      </c>
      <c r="E86" s="7" t="str">
        <f t="shared" si="12"/>
        <v>女</v>
      </c>
      <c r="F86" s="7"/>
    </row>
    <row r="87" spans="1:6" ht="30" customHeight="1">
      <c r="A87" s="7">
        <v>85</v>
      </c>
      <c r="B87" s="7" t="str">
        <f>"34542021112022381551437"</f>
        <v>34542021112022381551437</v>
      </c>
      <c r="C87" s="7" t="s">
        <v>10</v>
      </c>
      <c r="D87" s="7" t="str">
        <f>"董春波"</f>
        <v>董春波</v>
      </c>
      <c r="E87" s="7" t="str">
        <f t="shared" si="12"/>
        <v>女</v>
      </c>
      <c r="F87" s="7"/>
    </row>
    <row r="88" spans="1:6" ht="30" customHeight="1">
      <c r="A88" s="7">
        <v>86</v>
      </c>
      <c r="B88" s="7" t="str">
        <f>"34542021112121334051696"</f>
        <v>34542021112121334051696</v>
      </c>
      <c r="C88" s="7" t="s">
        <v>10</v>
      </c>
      <c r="D88" s="7" t="str">
        <f>"符鲜妃"</f>
        <v>符鲜妃</v>
      </c>
      <c r="E88" s="7" t="str">
        <f t="shared" si="12"/>
        <v>女</v>
      </c>
      <c r="F88" s="7"/>
    </row>
    <row r="89" spans="1:6" ht="30" customHeight="1">
      <c r="A89" s="7">
        <v>87</v>
      </c>
      <c r="B89" s="7" t="str">
        <f>"34542021112121522151704"</f>
        <v>34542021112121522151704</v>
      </c>
      <c r="C89" s="7" t="s">
        <v>10</v>
      </c>
      <c r="D89" s="7" t="str">
        <f>"王如光"</f>
        <v>王如光</v>
      </c>
      <c r="E89" s="7" t="str">
        <f aca="true" t="shared" si="13" ref="E89:E93">"男"</f>
        <v>男</v>
      </c>
      <c r="F89" s="7"/>
    </row>
    <row r="90" spans="1:6" ht="30" customHeight="1">
      <c r="A90" s="7">
        <v>88</v>
      </c>
      <c r="B90" s="7" t="str">
        <f>"34542021112215425151979"</f>
        <v>34542021112215425151979</v>
      </c>
      <c r="C90" s="7" t="s">
        <v>10</v>
      </c>
      <c r="D90" s="7" t="str">
        <f>"刘泽莹"</f>
        <v>刘泽莹</v>
      </c>
      <c r="E90" s="7" t="str">
        <f aca="true" t="shared" si="14" ref="E90:E97">"女"</f>
        <v>女</v>
      </c>
      <c r="F90" s="7"/>
    </row>
    <row r="91" spans="1:6" ht="30" customHeight="1">
      <c r="A91" s="7">
        <v>89</v>
      </c>
      <c r="B91" s="7" t="str">
        <f>"34542021112217201052040"</f>
        <v>34542021112217201052040</v>
      </c>
      <c r="C91" s="7" t="s">
        <v>10</v>
      </c>
      <c r="D91" s="7" t="str">
        <f>"羊正显"</f>
        <v>羊正显</v>
      </c>
      <c r="E91" s="7" t="str">
        <f t="shared" si="13"/>
        <v>男</v>
      </c>
      <c r="F91" s="7"/>
    </row>
    <row r="92" spans="1:6" ht="30" customHeight="1">
      <c r="A92" s="7">
        <v>90</v>
      </c>
      <c r="B92" s="7" t="str">
        <f>"34542021112218315952071"</f>
        <v>34542021112218315952071</v>
      </c>
      <c r="C92" s="7" t="s">
        <v>10</v>
      </c>
      <c r="D92" s="7" t="str">
        <f>"闫泽亚"</f>
        <v>闫泽亚</v>
      </c>
      <c r="E92" s="7" t="str">
        <f t="shared" si="13"/>
        <v>男</v>
      </c>
      <c r="F92" s="7"/>
    </row>
    <row r="93" spans="1:6" ht="30" customHeight="1">
      <c r="A93" s="7">
        <v>91</v>
      </c>
      <c r="B93" s="7" t="str">
        <f>"34542021112221401052140"</f>
        <v>34542021112221401052140</v>
      </c>
      <c r="C93" s="7" t="s">
        <v>10</v>
      </c>
      <c r="D93" s="7" t="str">
        <f>"杨万铨"</f>
        <v>杨万铨</v>
      </c>
      <c r="E93" s="7" t="str">
        <f t="shared" si="13"/>
        <v>男</v>
      </c>
      <c r="F93" s="7"/>
    </row>
    <row r="94" spans="1:6" ht="30" customHeight="1">
      <c r="A94" s="7">
        <v>92</v>
      </c>
      <c r="B94" s="7" t="str">
        <f>"34542021112300280152185"</f>
        <v>34542021112300280152185</v>
      </c>
      <c r="C94" s="7" t="s">
        <v>10</v>
      </c>
      <c r="D94" s="7" t="str">
        <f>"王日美"</f>
        <v>王日美</v>
      </c>
      <c r="E94" s="7" t="str">
        <f t="shared" si="14"/>
        <v>女</v>
      </c>
      <c r="F94" s="7"/>
    </row>
    <row r="95" spans="1:6" ht="30" customHeight="1">
      <c r="A95" s="7">
        <v>93</v>
      </c>
      <c r="B95" s="7" t="str">
        <f>"34542021112310225152235"</f>
        <v>34542021112310225152235</v>
      </c>
      <c r="C95" s="7" t="s">
        <v>10</v>
      </c>
      <c r="D95" s="7" t="str">
        <f>"侯道靓"</f>
        <v>侯道靓</v>
      </c>
      <c r="E95" s="7" t="str">
        <f t="shared" si="14"/>
        <v>女</v>
      </c>
      <c r="F95" s="7"/>
    </row>
    <row r="96" spans="1:6" ht="30" customHeight="1">
      <c r="A96" s="7">
        <v>94</v>
      </c>
      <c r="B96" s="7" t="str">
        <f>"34542021112310531452248"</f>
        <v>34542021112310531452248</v>
      </c>
      <c r="C96" s="7" t="s">
        <v>10</v>
      </c>
      <c r="D96" s="7" t="str">
        <f>"黄秋敏"</f>
        <v>黄秋敏</v>
      </c>
      <c r="E96" s="7" t="str">
        <f t="shared" si="14"/>
        <v>女</v>
      </c>
      <c r="F96" s="7"/>
    </row>
    <row r="97" spans="1:6" ht="30" customHeight="1">
      <c r="A97" s="7">
        <v>95</v>
      </c>
      <c r="B97" s="7" t="str">
        <f>"34542021112313175352308"</f>
        <v>34542021112313175352308</v>
      </c>
      <c r="C97" s="7" t="s">
        <v>10</v>
      </c>
      <c r="D97" s="7" t="str">
        <f>"陈积秋"</f>
        <v>陈积秋</v>
      </c>
      <c r="E97" s="7" t="str">
        <f t="shared" si="14"/>
        <v>女</v>
      </c>
      <c r="F97" s="7"/>
    </row>
    <row r="98" spans="1:6" ht="30" customHeight="1">
      <c r="A98" s="7">
        <v>96</v>
      </c>
      <c r="B98" s="7" t="str">
        <f>"34542021112315262852346"</f>
        <v>34542021112315262852346</v>
      </c>
      <c r="C98" s="7" t="s">
        <v>10</v>
      </c>
      <c r="D98" s="7" t="str">
        <f>"叶清"</f>
        <v>叶清</v>
      </c>
      <c r="E98" s="7" t="str">
        <f>"男"</f>
        <v>男</v>
      </c>
      <c r="F98" s="7"/>
    </row>
    <row r="99" spans="1:6" ht="30" customHeight="1">
      <c r="A99" s="7">
        <v>97</v>
      </c>
      <c r="B99" s="7" t="str">
        <f>"34542021112315352852352"</f>
        <v>34542021112315352852352</v>
      </c>
      <c r="C99" s="7" t="s">
        <v>10</v>
      </c>
      <c r="D99" s="7" t="str">
        <f>"蔡小蓉"</f>
        <v>蔡小蓉</v>
      </c>
      <c r="E99" s="7" t="str">
        <f aca="true" t="shared" si="15" ref="E99:E104">"女"</f>
        <v>女</v>
      </c>
      <c r="F99" s="7"/>
    </row>
    <row r="100" spans="1:6" ht="30" customHeight="1">
      <c r="A100" s="7">
        <v>98</v>
      </c>
      <c r="B100" s="7" t="str">
        <f>"34542021112316042652366"</f>
        <v>34542021112316042652366</v>
      </c>
      <c r="C100" s="7" t="s">
        <v>10</v>
      </c>
      <c r="D100" s="7" t="str">
        <f>"吴金玲"</f>
        <v>吴金玲</v>
      </c>
      <c r="E100" s="7" t="str">
        <f t="shared" si="15"/>
        <v>女</v>
      </c>
      <c r="F100" s="7"/>
    </row>
    <row r="101" spans="1:6" ht="30" customHeight="1">
      <c r="A101" s="7">
        <v>99</v>
      </c>
      <c r="B101" s="7" t="str">
        <f>"34542021112316334952378"</f>
        <v>34542021112316334952378</v>
      </c>
      <c r="C101" s="7" t="s">
        <v>10</v>
      </c>
      <c r="D101" s="7" t="str">
        <f>"叶冬梅"</f>
        <v>叶冬梅</v>
      </c>
      <c r="E101" s="7" t="str">
        <f t="shared" si="15"/>
        <v>女</v>
      </c>
      <c r="F101" s="7"/>
    </row>
    <row r="102" spans="1:6" ht="30" customHeight="1">
      <c r="A102" s="7">
        <v>100</v>
      </c>
      <c r="B102" s="7" t="str">
        <f>"34542021112317074352397"</f>
        <v>34542021112317074352397</v>
      </c>
      <c r="C102" s="7" t="s">
        <v>10</v>
      </c>
      <c r="D102" s="7" t="str">
        <f>"陈孟桃"</f>
        <v>陈孟桃</v>
      </c>
      <c r="E102" s="7" t="str">
        <f t="shared" si="15"/>
        <v>女</v>
      </c>
      <c r="F102" s="7"/>
    </row>
    <row r="103" spans="1:6" ht="30" customHeight="1">
      <c r="A103" s="7">
        <v>101</v>
      </c>
      <c r="B103" s="7" t="str">
        <f>"34542021112318212752423"</f>
        <v>34542021112318212752423</v>
      </c>
      <c r="C103" s="7" t="s">
        <v>10</v>
      </c>
      <c r="D103" s="7" t="str">
        <f>"吴彩井"</f>
        <v>吴彩井</v>
      </c>
      <c r="E103" s="7" t="str">
        <f t="shared" si="15"/>
        <v>女</v>
      </c>
      <c r="F103" s="7"/>
    </row>
    <row r="104" spans="1:6" ht="30" customHeight="1">
      <c r="A104" s="7">
        <v>102</v>
      </c>
      <c r="B104" s="7" t="str">
        <f>"34542021112319184052445"</f>
        <v>34542021112319184052445</v>
      </c>
      <c r="C104" s="7" t="s">
        <v>10</v>
      </c>
      <c r="D104" s="7" t="str">
        <f>"邓玉霞"</f>
        <v>邓玉霞</v>
      </c>
      <c r="E104" s="7" t="str">
        <f t="shared" si="15"/>
        <v>女</v>
      </c>
      <c r="F104" s="7"/>
    </row>
    <row r="105" spans="1:6" ht="30" customHeight="1">
      <c r="A105" s="7">
        <v>103</v>
      </c>
      <c r="B105" s="7" t="str">
        <f>"34542021112319214252447"</f>
        <v>34542021112319214252447</v>
      </c>
      <c r="C105" s="7" t="s">
        <v>10</v>
      </c>
      <c r="D105" s="7" t="str">
        <f>"杨佳辉"</f>
        <v>杨佳辉</v>
      </c>
      <c r="E105" s="7" t="str">
        <f aca="true" t="shared" si="16" ref="E105:E111">"男"</f>
        <v>男</v>
      </c>
      <c r="F105" s="7"/>
    </row>
    <row r="106" spans="1:6" ht="30" customHeight="1">
      <c r="A106" s="7">
        <v>104</v>
      </c>
      <c r="B106" s="7" t="str">
        <f>"34542021112320000652461"</f>
        <v>34542021112320000652461</v>
      </c>
      <c r="C106" s="7" t="s">
        <v>10</v>
      </c>
      <c r="D106" s="7" t="str">
        <f>"罗敏"</f>
        <v>罗敏</v>
      </c>
      <c r="E106" s="7" t="str">
        <f aca="true" t="shared" si="17" ref="E106:E108">"女"</f>
        <v>女</v>
      </c>
      <c r="F106" s="7"/>
    </row>
    <row r="107" spans="1:6" ht="30" customHeight="1">
      <c r="A107" s="7">
        <v>105</v>
      </c>
      <c r="B107" s="7" t="str">
        <f>"34542021112322180452511"</f>
        <v>34542021112322180452511</v>
      </c>
      <c r="C107" s="7" t="s">
        <v>10</v>
      </c>
      <c r="D107" s="7" t="str">
        <f>"吴丽榕"</f>
        <v>吴丽榕</v>
      </c>
      <c r="E107" s="7" t="str">
        <f t="shared" si="17"/>
        <v>女</v>
      </c>
      <c r="F107" s="7"/>
    </row>
    <row r="108" spans="1:6" ht="30" customHeight="1">
      <c r="A108" s="7">
        <v>106</v>
      </c>
      <c r="B108" s="7" t="str">
        <f>"34542021112413102352644"</f>
        <v>34542021112413102352644</v>
      </c>
      <c r="C108" s="7" t="s">
        <v>10</v>
      </c>
      <c r="D108" s="7" t="str">
        <f>"谢彬彬"</f>
        <v>谢彬彬</v>
      </c>
      <c r="E108" s="7" t="str">
        <f t="shared" si="17"/>
        <v>女</v>
      </c>
      <c r="F108" s="7"/>
    </row>
    <row r="109" spans="1:6" ht="30" customHeight="1">
      <c r="A109" s="7">
        <v>107</v>
      </c>
      <c r="B109" s="7" t="str">
        <f>"34542021112416245652690"</f>
        <v>34542021112416245652690</v>
      </c>
      <c r="C109" s="7" t="s">
        <v>10</v>
      </c>
      <c r="D109" s="7" t="str">
        <f>"李孟邱"</f>
        <v>李孟邱</v>
      </c>
      <c r="E109" s="7" t="str">
        <f t="shared" si="16"/>
        <v>男</v>
      </c>
      <c r="F109" s="7"/>
    </row>
    <row r="110" spans="1:6" ht="30" customHeight="1">
      <c r="A110" s="7">
        <v>108</v>
      </c>
      <c r="B110" s="7" t="str">
        <f>"34542021112417053052703"</f>
        <v>34542021112417053052703</v>
      </c>
      <c r="C110" s="7" t="s">
        <v>10</v>
      </c>
      <c r="D110" s="7" t="str">
        <f>"钟玉生"</f>
        <v>钟玉生</v>
      </c>
      <c r="E110" s="7" t="str">
        <f t="shared" si="16"/>
        <v>男</v>
      </c>
      <c r="F110" s="7"/>
    </row>
    <row r="111" spans="1:6" ht="30" customHeight="1">
      <c r="A111" s="7">
        <v>109</v>
      </c>
      <c r="B111" s="7" t="str">
        <f>"34542021112418581652736"</f>
        <v>34542021112418581652736</v>
      </c>
      <c r="C111" s="7" t="s">
        <v>10</v>
      </c>
      <c r="D111" s="7" t="str">
        <f>"曾令通"</f>
        <v>曾令通</v>
      </c>
      <c r="E111" s="7" t="str">
        <f t="shared" si="16"/>
        <v>男</v>
      </c>
      <c r="F111" s="7"/>
    </row>
    <row r="112" spans="1:6" ht="30" customHeight="1">
      <c r="A112" s="7">
        <v>110</v>
      </c>
      <c r="B112" s="7" t="str">
        <f>"34542021112419253952745"</f>
        <v>34542021112419253952745</v>
      </c>
      <c r="C112" s="7" t="s">
        <v>10</v>
      </c>
      <c r="D112" s="7" t="str">
        <f>"许蓉芳"</f>
        <v>许蓉芳</v>
      </c>
      <c r="E112" s="7" t="str">
        <f aca="true" t="shared" si="18" ref="E112:E126">"女"</f>
        <v>女</v>
      </c>
      <c r="F112" s="7"/>
    </row>
    <row r="113" spans="1:6" ht="30" customHeight="1">
      <c r="A113" s="7">
        <v>111</v>
      </c>
      <c r="B113" s="7" t="str">
        <f>"34542021112420132652767"</f>
        <v>34542021112420132652767</v>
      </c>
      <c r="C113" s="7" t="s">
        <v>10</v>
      </c>
      <c r="D113" s="7" t="str">
        <f>"吴纪贞"</f>
        <v>吴纪贞</v>
      </c>
      <c r="E113" s="7" t="str">
        <f t="shared" si="18"/>
        <v>女</v>
      </c>
      <c r="F113" s="7"/>
    </row>
    <row r="114" spans="1:6" ht="30" customHeight="1">
      <c r="A114" s="7">
        <v>112</v>
      </c>
      <c r="B114" s="7" t="str">
        <f>"34542021112420412852778"</f>
        <v>34542021112420412852778</v>
      </c>
      <c r="C114" s="7" t="s">
        <v>10</v>
      </c>
      <c r="D114" s="7" t="str">
        <f>"朱夏敏"</f>
        <v>朱夏敏</v>
      </c>
      <c r="E114" s="7" t="str">
        <f t="shared" si="18"/>
        <v>女</v>
      </c>
      <c r="F114" s="7"/>
    </row>
    <row r="115" spans="1:6" ht="30" customHeight="1">
      <c r="A115" s="7">
        <v>113</v>
      </c>
      <c r="B115" s="7" t="str">
        <f>"34542021112511324452948"</f>
        <v>34542021112511324452948</v>
      </c>
      <c r="C115" s="7" t="s">
        <v>10</v>
      </c>
      <c r="D115" s="7" t="str">
        <f>"沈永梅"</f>
        <v>沈永梅</v>
      </c>
      <c r="E115" s="7" t="str">
        <f t="shared" si="18"/>
        <v>女</v>
      </c>
      <c r="F115" s="7"/>
    </row>
    <row r="116" spans="1:6" ht="30" customHeight="1">
      <c r="A116" s="7">
        <v>114</v>
      </c>
      <c r="B116" s="7" t="str">
        <f>"34542021111909014750402"</f>
        <v>34542021111909014750402</v>
      </c>
      <c r="C116" s="7" t="s">
        <v>11</v>
      </c>
      <c r="D116" s="7" t="str">
        <f>"梁琼秋"</f>
        <v>梁琼秋</v>
      </c>
      <c r="E116" s="7" t="str">
        <f t="shared" si="18"/>
        <v>女</v>
      </c>
      <c r="F116" s="7"/>
    </row>
    <row r="117" spans="1:6" ht="30" customHeight="1">
      <c r="A117" s="7">
        <v>115</v>
      </c>
      <c r="B117" s="7" t="str">
        <f>"34542021111909551050504"</f>
        <v>34542021111909551050504</v>
      </c>
      <c r="C117" s="7" t="s">
        <v>11</v>
      </c>
      <c r="D117" s="7" t="str">
        <f>"丁小容"</f>
        <v>丁小容</v>
      </c>
      <c r="E117" s="7" t="str">
        <f t="shared" si="18"/>
        <v>女</v>
      </c>
      <c r="F117" s="7"/>
    </row>
    <row r="118" spans="1:6" ht="30" customHeight="1">
      <c r="A118" s="7">
        <v>116</v>
      </c>
      <c r="B118" s="7" t="str">
        <f>"34542021111911333550654"</f>
        <v>34542021111911333550654</v>
      </c>
      <c r="C118" s="7" t="s">
        <v>11</v>
      </c>
      <c r="D118" s="7" t="str">
        <f>"韦婷婷"</f>
        <v>韦婷婷</v>
      </c>
      <c r="E118" s="7" t="str">
        <f t="shared" si="18"/>
        <v>女</v>
      </c>
      <c r="F118" s="7"/>
    </row>
    <row r="119" spans="1:6" ht="30" customHeight="1">
      <c r="A119" s="7">
        <v>117</v>
      </c>
      <c r="B119" s="7" t="str">
        <f>"34542021111914144350791"</f>
        <v>34542021111914144350791</v>
      </c>
      <c r="C119" s="7" t="s">
        <v>11</v>
      </c>
      <c r="D119" s="7" t="str">
        <f>"黎凤玲"</f>
        <v>黎凤玲</v>
      </c>
      <c r="E119" s="7" t="str">
        <f t="shared" si="18"/>
        <v>女</v>
      </c>
      <c r="F119" s="7"/>
    </row>
    <row r="120" spans="1:6" ht="30" customHeight="1">
      <c r="A120" s="7">
        <v>118</v>
      </c>
      <c r="B120" s="7" t="str">
        <f>"34542021111915304050859"</f>
        <v>34542021111915304050859</v>
      </c>
      <c r="C120" s="7" t="s">
        <v>11</v>
      </c>
      <c r="D120" s="7" t="str">
        <f>"陈晓芳"</f>
        <v>陈晓芳</v>
      </c>
      <c r="E120" s="7" t="str">
        <f t="shared" si="18"/>
        <v>女</v>
      </c>
      <c r="F120" s="7"/>
    </row>
    <row r="121" spans="1:6" ht="30" customHeight="1">
      <c r="A121" s="7">
        <v>119</v>
      </c>
      <c r="B121" s="7" t="str">
        <f>"34542021111915521650884"</f>
        <v>34542021111915521650884</v>
      </c>
      <c r="C121" s="7" t="s">
        <v>11</v>
      </c>
      <c r="D121" s="7" t="str">
        <f>"任世丽"</f>
        <v>任世丽</v>
      </c>
      <c r="E121" s="7" t="str">
        <f t="shared" si="18"/>
        <v>女</v>
      </c>
      <c r="F121" s="7"/>
    </row>
    <row r="122" spans="1:6" ht="30" customHeight="1">
      <c r="A122" s="7">
        <v>120</v>
      </c>
      <c r="B122" s="7" t="str">
        <f>"34542021111916580950955"</f>
        <v>34542021111916580950955</v>
      </c>
      <c r="C122" s="7" t="s">
        <v>11</v>
      </c>
      <c r="D122" s="7" t="str">
        <f>"李惠丽"</f>
        <v>李惠丽</v>
      </c>
      <c r="E122" s="7" t="str">
        <f t="shared" si="18"/>
        <v>女</v>
      </c>
      <c r="F122" s="7"/>
    </row>
    <row r="123" spans="1:6" ht="30" customHeight="1">
      <c r="A123" s="7">
        <v>121</v>
      </c>
      <c r="B123" s="7" t="str">
        <f>"34542021111917205350968"</f>
        <v>34542021111917205350968</v>
      </c>
      <c r="C123" s="7" t="s">
        <v>11</v>
      </c>
      <c r="D123" s="7" t="str">
        <f>"梁其娇"</f>
        <v>梁其娇</v>
      </c>
      <c r="E123" s="7" t="str">
        <f t="shared" si="18"/>
        <v>女</v>
      </c>
      <c r="F123" s="7"/>
    </row>
    <row r="124" spans="1:6" ht="30" customHeight="1">
      <c r="A124" s="7">
        <v>122</v>
      </c>
      <c r="B124" s="7" t="str">
        <f>"34542021111917215650970"</f>
        <v>34542021111917215650970</v>
      </c>
      <c r="C124" s="7" t="s">
        <v>11</v>
      </c>
      <c r="D124" s="7" t="str">
        <f>"陈海涯"</f>
        <v>陈海涯</v>
      </c>
      <c r="E124" s="7" t="str">
        <f t="shared" si="18"/>
        <v>女</v>
      </c>
      <c r="F124" s="7"/>
    </row>
    <row r="125" spans="1:6" ht="30" customHeight="1">
      <c r="A125" s="7">
        <v>123</v>
      </c>
      <c r="B125" s="7" t="str">
        <f>"34542021111917443150975"</f>
        <v>34542021111917443150975</v>
      </c>
      <c r="C125" s="7" t="s">
        <v>11</v>
      </c>
      <c r="D125" s="7" t="str">
        <f>"程欣"</f>
        <v>程欣</v>
      </c>
      <c r="E125" s="7" t="str">
        <f t="shared" si="18"/>
        <v>女</v>
      </c>
      <c r="F125" s="7"/>
    </row>
    <row r="126" spans="1:6" ht="30" customHeight="1">
      <c r="A126" s="7">
        <v>124</v>
      </c>
      <c r="B126" s="7" t="str">
        <f>"34542021111919082651006"</f>
        <v>34542021111919082651006</v>
      </c>
      <c r="C126" s="7" t="s">
        <v>11</v>
      </c>
      <c r="D126" s="7" t="str">
        <f>"黎霞 "</f>
        <v>黎霞 </v>
      </c>
      <c r="E126" s="7" t="str">
        <f t="shared" si="18"/>
        <v>女</v>
      </c>
      <c r="F126" s="7"/>
    </row>
    <row r="127" spans="1:6" ht="30" customHeight="1">
      <c r="A127" s="7">
        <v>125</v>
      </c>
      <c r="B127" s="7" t="str">
        <f>"34542021111919543151031"</f>
        <v>34542021111919543151031</v>
      </c>
      <c r="C127" s="7" t="s">
        <v>11</v>
      </c>
      <c r="D127" s="7" t="str">
        <f>"陈小明"</f>
        <v>陈小明</v>
      </c>
      <c r="E127" s="7" t="str">
        <f>"男"</f>
        <v>男</v>
      </c>
      <c r="F127" s="7"/>
    </row>
    <row r="128" spans="1:6" ht="30" customHeight="1">
      <c r="A128" s="7">
        <v>126</v>
      </c>
      <c r="B128" s="7" t="str">
        <f>"34542021111921074651070"</f>
        <v>34542021111921074651070</v>
      </c>
      <c r="C128" s="7" t="s">
        <v>11</v>
      </c>
      <c r="D128" s="7" t="str">
        <f>"吴巨猷"</f>
        <v>吴巨猷</v>
      </c>
      <c r="E128" s="7" t="str">
        <f>"男"</f>
        <v>男</v>
      </c>
      <c r="F128" s="7"/>
    </row>
    <row r="129" spans="1:6" ht="30" customHeight="1">
      <c r="A129" s="7">
        <v>127</v>
      </c>
      <c r="B129" s="7" t="str">
        <f>"34542021111921245451082"</f>
        <v>34542021111921245451082</v>
      </c>
      <c r="C129" s="7" t="s">
        <v>11</v>
      </c>
      <c r="D129" s="7" t="str">
        <f>"李天凤"</f>
        <v>李天凤</v>
      </c>
      <c r="E129" s="7" t="str">
        <f aca="true" t="shared" si="19" ref="E129:E133">"女"</f>
        <v>女</v>
      </c>
      <c r="F129" s="7"/>
    </row>
    <row r="130" spans="1:6" ht="30" customHeight="1">
      <c r="A130" s="7">
        <v>128</v>
      </c>
      <c r="B130" s="7" t="str">
        <f>"34542021111922100651104"</f>
        <v>34542021111922100651104</v>
      </c>
      <c r="C130" s="7" t="s">
        <v>11</v>
      </c>
      <c r="D130" s="7" t="str">
        <f>"李爱坤"</f>
        <v>李爱坤</v>
      </c>
      <c r="E130" s="7" t="str">
        <f t="shared" si="19"/>
        <v>女</v>
      </c>
      <c r="F130" s="7"/>
    </row>
    <row r="131" spans="1:6" ht="30" customHeight="1">
      <c r="A131" s="7">
        <v>129</v>
      </c>
      <c r="B131" s="7" t="str">
        <f>"34542021112010092551181"</f>
        <v>34542021112010092551181</v>
      </c>
      <c r="C131" s="7" t="s">
        <v>11</v>
      </c>
      <c r="D131" s="7" t="str">
        <f>"陈冬梅"</f>
        <v>陈冬梅</v>
      </c>
      <c r="E131" s="7" t="str">
        <f t="shared" si="19"/>
        <v>女</v>
      </c>
      <c r="F131" s="7"/>
    </row>
    <row r="132" spans="1:6" ht="30" customHeight="1">
      <c r="A132" s="7">
        <v>130</v>
      </c>
      <c r="B132" s="7" t="str">
        <f>"34542021112010562351208"</f>
        <v>34542021112010562351208</v>
      </c>
      <c r="C132" s="7" t="s">
        <v>11</v>
      </c>
      <c r="D132" s="7" t="str">
        <f>"黄添慧"</f>
        <v>黄添慧</v>
      </c>
      <c r="E132" s="7" t="str">
        <f t="shared" si="19"/>
        <v>女</v>
      </c>
      <c r="F132" s="7"/>
    </row>
    <row r="133" spans="1:6" ht="30" customHeight="1">
      <c r="A133" s="7">
        <v>131</v>
      </c>
      <c r="B133" s="7" t="str">
        <f>"34542021112012041351234"</f>
        <v>34542021112012041351234</v>
      </c>
      <c r="C133" s="7" t="s">
        <v>11</v>
      </c>
      <c r="D133" s="7" t="str">
        <f>"陈艳丹"</f>
        <v>陈艳丹</v>
      </c>
      <c r="E133" s="7" t="str">
        <f t="shared" si="19"/>
        <v>女</v>
      </c>
      <c r="F133" s="7"/>
    </row>
    <row r="134" spans="1:6" ht="30" customHeight="1">
      <c r="A134" s="7">
        <v>132</v>
      </c>
      <c r="B134" s="7" t="str">
        <f>"34542021112016042251308"</f>
        <v>34542021112016042251308</v>
      </c>
      <c r="C134" s="7" t="s">
        <v>11</v>
      </c>
      <c r="D134" s="7" t="str">
        <f>"唐发敏"</f>
        <v>唐发敏</v>
      </c>
      <c r="E134" s="7" t="str">
        <f aca="true" t="shared" si="20" ref="E134:E136">"男"</f>
        <v>男</v>
      </c>
      <c r="F134" s="7"/>
    </row>
    <row r="135" spans="1:6" ht="30" customHeight="1">
      <c r="A135" s="7">
        <v>133</v>
      </c>
      <c r="B135" s="7" t="str">
        <f>"34542021112112131551526"</f>
        <v>34542021112112131551526</v>
      </c>
      <c r="C135" s="7" t="s">
        <v>11</v>
      </c>
      <c r="D135" s="7" t="str">
        <f>"甘明锦"</f>
        <v>甘明锦</v>
      </c>
      <c r="E135" s="7" t="str">
        <f t="shared" si="20"/>
        <v>男</v>
      </c>
      <c r="F135" s="7"/>
    </row>
    <row r="136" spans="1:6" ht="30" customHeight="1">
      <c r="A136" s="7">
        <v>134</v>
      </c>
      <c r="B136" s="7" t="str">
        <f>"34542021112113184051553"</f>
        <v>34542021112113184051553</v>
      </c>
      <c r="C136" s="7" t="s">
        <v>11</v>
      </c>
      <c r="D136" s="7" t="str">
        <f>"羊本彭"</f>
        <v>羊本彭</v>
      </c>
      <c r="E136" s="7" t="str">
        <f t="shared" si="20"/>
        <v>男</v>
      </c>
      <c r="F136" s="7"/>
    </row>
    <row r="137" spans="1:6" ht="30" customHeight="1">
      <c r="A137" s="7">
        <v>135</v>
      </c>
      <c r="B137" s="7" t="str">
        <f>"34542021112118444551645"</f>
        <v>34542021112118444551645</v>
      </c>
      <c r="C137" s="7" t="s">
        <v>11</v>
      </c>
      <c r="D137" s="7" t="str">
        <f>"王妹如"</f>
        <v>王妹如</v>
      </c>
      <c r="E137" s="7" t="str">
        <f aca="true" t="shared" si="21" ref="E137:E144">"女"</f>
        <v>女</v>
      </c>
      <c r="F137" s="7"/>
    </row>
    <row r="138" spans="1:6" ht="30" customHeight="1">
      <c r="A138" s="7">
        <v>136</v>
      </c>
      <c r="B138" s="7" t="str">
        <f>"34542021112119385051659"</f>
        <v>34542021112119385051659</v>
      </c>
      <c r="C138" s="7" t="s">
        <v>11</v>
      </c>
      <c r="D138" s="7" t="str">
        <f>"林鸿昌"</f>
        <v>林鸿昌</v>
      </c>
      <c r="E138" s="7" t="str">
        <f>"男"</f>
        <v>男</v>
      </c>
      <c r="F138" s="7"/>
    </row>
    <row r="139" spans="1:6" ht="30" customHeight="1">
      <c r="A139" s="7">
        <v>137</v>
      </c>
      <c r="B139" s="7" t="str">
        <f>"34542021112120512851680"</f>
        <v>34542021112120512851680</v>
      </c>
      <c r="C139" s="7" t="s">
        <v>11</v>
      </c>
      <c r="D139" s="7" t="str">
        <f>"符玉秋 "</f>
        <v>符玉秋 </v>
      </c>
      <c r="E139" s="7" t="str">
        <f t="shared" si="21"/>
        <v>女</v>
      </c>
      <c r="F139" s="7"/>
    </row>
    <row r="140" spans="1:6" ht="30" customHeight="1">
      <c r="A140" s="7">
        <v>138</v>
      </c>
      <c r="B140" s="7" t="str">
        <f>"34542021112123005951720"</f>
        <v>34542021112123005951720</v>
      </c>
      <c r="C140" s="7" t="s">
        <v>11</v>
      </c>
      <c r="D140" s="7" t="str">
        <f>"孙丽珍"</f>
        <v>孙丽珍</v>
      </c>
      <c r="E140" s="7" t="str">
        <f t="shared" si="21"/>
        <v>女</v>
      </c>
      <c r="F140" s="7"/>
    </row>
    <row r="141" spans="1:6" ht="30" customHeight="1">
      <c r="A141" s="7">
        <v>139</v>
      </c>
      <c r="B141" s="7" t="str">
        <f>"34542021112207244051737"</f>
        <v>34542021112207244051737</v>
      </c>
      <c r="C141" s="7" t="s">
        <v>11</v>
      </c>
      <c r="D141" s="7" t="str">
        <f>"陈芳"</f>
        <v>陈芳</v>
      </c>
      <c r="E141" s="7" t="str">
        <f t="shared" si="21"/>
        <v>女</v>
      </c>
      <c r="F141" s="7"/>
    </row>
    <row r="142" spans="1:6" ht="30" customHeight="1">
      <c r="A142" s="7">
        <v>140</v>
      </c>
      <c r="B142" s="7" t="str">
        <f>"34542021112209403751788"</f>
        <v>34542021112209403751788</v>
      </c>
      <c r="C142" s="7" t="s">
        <v>11</v>
      </c>
      <c r="D142" s="7" t="str">
        <f>"孔洁华"</f>
        <v>孔洁华</v>
      </c>
      <c r="E142" s="7" t="str">
        <f t="shared" si="21"/>
        <v>女</v>
      </c>
      <c r="F142" s="7"/>
    </row>
    <row r="143" spans="1:6" ht="30" customHeight="1">
      <c r="A143" s="7">
        <v>141</v>
      </c>
      <c r="B143" s="7" t="str">
        <f>"34542021112209563551807"</f>
        <v>34542021112209563551807</v>
      </c>
      <c r="C143" s="7" t="s">
        <v>11</v>
      </c>
      <c r="D143" s="7" t="str">
        <f>"刘虹燕"</f>
        <v>刘虹燕</v>
      </c>
      <c r="E143" s="7" t="str">
        <f t="shared" si="21"/>
        <v>女</v>
      </c>
      <c r="F143" s="7"/>
    </row>
    <row r="144" spans="1:6" ht="30" customHeight="1">
      <c r="A144" s="7">
        <v>142</v>
      </c>
      <c r="B144" s="7" t="str">
        <f>"34542021112209582651809"</f>
        <v>34542021112209582651809</v>
      </c>
      <c r="C144" s="7" t="s">
        <v>11</v>
      </c>
      <c r="D144" s="7" t="str">
        <f>"李姗姗"</f>
        <v>李姗姗</v>
      </c>
      <c r="E144" s="7" t="str">
        <f t="shared" si="21"/>
        <v>女</v>
      </c>
      <c r="F144" s="7"/>
    </row>
    <row r="145" spans="1:6" ht="30" customHeight="1">
      <c r="A145" s="7">
        <v>143</v>
      </c>
      <c r="B145" s="7" t="str">
        <f>"34542021112210321851834"</f>
        <v>34542021112210321851834</v>
      </c>
      <c r="C145" s="7" t="s">
        <v>11</v>
      </c>
      <c r="D145" s="7" t="str">
        <f>"符桥"</f>
        <v>符桥</v>
      </c>
      <c r="E145" s="7" t="str">
        <f>"男"</f>
        <v>男</v>
      </c>
      <c r="F145" s="7"/>
    </row>
    <row r="146" spans="1:6" ht="30" customHeight="1">
      <c r="A146" s="7">
        <v>144</v>
      </c>
      <c r="B146" s="7" t="str">
        <f>"34542021112210390351845"</f>
        <v>34542021112210390351845</v>
      </c>
      <c r="C146" s="7" t="s">
        <v>11</v>
      </c>
      <c r="D146" s="7" t="str">
        <f>"陈媛妊"</f>
        <v>陈媛妊</v>
      </c>
      <c r="E146" s="7" t="str">
        <f aca="true" t="shared" si="22" ref="E146:E157">"女"</f>
        <v>女</v>
      </c>
      <c r="F146" s="7"/>
    </row>
    <row r="147" spans="1:6" ht="30" customHeight="1">
      <c r="A147" s="7">
        <v>145</v>
      </c>
      <c r="B147" s="7" t="str">
        <f>"34542021112212102151894"</f>
        <v>34542021112212102151894</v>
      </c>
      <c r="C147" s="7" t="s">
        <v>11</v>
      </c>
      <c r="D147" s="7" t="str">
        <f>"王彩芳"</f>
        <v>王彩芳</v>
      </c>
      <c r="E147" s="7" t="str">
        <f t="shared" si="22"/>
        <v>女</v>
      </c>
      <c r="F147" s="7"/>
    </row>
    <row r="148" spans="1:6" ht="30" customHeight="1">
      <c r="A148" s="7">
        <v>146</v>
      </c>
      <c r="B148" s="7" t="str">
        <f>"34542021112213192951918"</f>
        <v>34542021112213192951918</v>
      </c>
      <c r="C148" s="7" t="s">
        <v>11</v>
      </c>
      <c r="D148" s="7" t="str">
        <f>"曾玲俐"</f>
        <v>曾玲俐</v>
      </c>
      <c r="E148" s="7" t="str">
        <f t="shared" si="22"/>
        <v>女</v>
      </c>
      <c r="F148" s="7"/>
    </row>
    <row r="149" spans="1:6" ht="30" customHeight="1">
      <c r="A149" s="7">
        <v>147</v>
      </c>
      <c r="B149" s="7" t="str">
        <f>"34542021112213411251924"</f>
        <v>34542021112213411251924</v>
      </c>
      <c r="C149" s="7" t="s">
        <v>11</v>
      </c>
      <c r="D149" s="7" t="str">
        <f>"温希月"</f>
        <v>温希月</v>
      </c>
      <c r="E149" s="7" t="str">
        <f t="shared" si="22"/>
        <v>女</v>
      </c>
      <c r="F149" s="7"/>
    </row>
    <row r="150" spans="1:6" ht="30" customHeight="1">
      <c r="A150" s="7">
        <v>148</v>
      </c>
      <c r="B150" s="7" t="str">
        <f>"34542021112214261151936"</f>
        <v>34542021112214261151936</v>
      </c>
      <c r="C150" s="7" t="s">
        <v>11</v>
      </c>
      <c r="D150" s="7" t="str">
        <f>"王爱花"</f>
        <v>王爱花</v>
      </c>
      <c r="E150" s="7" t="str">
        <f t="shared" si="22"/>
        <v>女</v>
      </c>
      <c r="F150" s="7"/>
    </row>
    <row r="151" spans="1:6" ht="30" customHeight="1">
      <c r="A151" s="7">
        <v>149</v>
      </c>
      <c r="B151" s="7" t="str">
        <f>"34542021112215172151958"</f>
        <v>34542021112215172151958</v>
      </c>
      <c r="C151" s="7" t="s">
        <v>11</v>
      </c>
      <c r="D151" s="7" t="str">
        <f>"徐斯桦"</f>
        <v>徐斯桦</v>
      </c>
      <c r="E151" s="7" t="str">
        <f t="shared" si="22"/>
        <v>女</v>
      </c>
      <c r="F151" s="7"/>
    </row>
    <row r="152" spans="1:6" ht="30" customHeight="1">
      <c r="A152" s="7">
        <v>150</v>
      </c>
      <c r="B152" s="7" t="str">
        <f>"34542021112215493351984"</f>
        <v>34542021112215493351984</v>
      </c>
      <c r="C152" s="7" t="s">
        <v>11</v>
      </c>
      <c r="D152" s="7" t="str">
        <f>"羊秋雁"</f>
        <v>羊秋雁</v>
      </c>
      <c r="E152" s="7" t="str">
        <f t="shared" si="22"/>
        <v>女</v>
      </c>
      <c r="F152" s="7"/>
    </row>
    <row r="153" spans="1:6" ht="30" customHeight="1">
      <c r="A153" s="7">
        <v>151</v>
      </c>
      <c r="B153" s="7" t="str">
        <f>"34542021112217555552059"</f>
        <v>34542021112217555552059</v>
      </c>
      <c r="C153" s="7" t="s">
        <v>11</v>
      </c>
      <c r="D153" s="7" t="str">
        <f>"薛初香"</f>
        <v>薛初香</v>
      </c>
      <c r="E153" s="7" t="str">
        <f t="shared" si="22"/>
        <v>女</v>
      </c>
      <c r="F153" s="7"/>
    </row>
    <row r="154" spans="1:6" ht="30" customHeight="1">
      <c r="A154" s="7">
        <v>152</v>
      </c>
      <c r="B154" s="7" t="str">
        <f>"34542021112222110752156"</f>
        <v>34542021112222110752156</v>
      </c>
      <c r="C154" s="7" t="s">
        <v>11</v>
      </c>
      <c r="D154" s="7" t="str">
        <f>"郑若珍"</f>
        <v>郑若珍</v>
      </c>
      <c r="E154" s="7" t="str">
        <f t="shared" si="22"/>
        <v>女</v>
      </c>
      <c r="F154" s="7"/>
    </row>
    <row r="155" spans="1:6" ht="30" customHeight="1">
      <c r="A155" s="7">
        <v>153</v>
      </c>
      <c r="B155" s="7" t="str">
        <f>"34542021112222181052159"</f>
        <v>34542021112222181052159</v>
      </c>
      <c r="C155" s="7" t="s">
        <v>11</v>
      </c>
      <c r="D155" s="7" t="str">
        <f>"张梦莹"</f>
        <v>张梦莹</v>
      </c>
      <c r="E155" s="7" t="str">
        <f t="shared" si="22"/>
        <v>女</v>
      </c>
      <c r="F155" s="7"/>
    </row>
    <row r="156" spans="1:6" ht="30" customHeight="1">
      <c r="A156" s="7">
        <v>154</v>
      </c>
      <c r="B156" s="7" t="str">
        <f>"34542021112310134652230"</f>
        <v>34542021112310134652230</v>
      </c>
      <c r="C156" s="7" t="s">
        <v>11</v>
      </c>
      <c r="D156" s="7" t="str">
        <f>"陈紫华"</f>
        <v>陈紫华</v>
      </c>
      <c r="E156" s="7" t="str">
        <f t="shared" si="22"/>
        <v>女</v>
      </c>
      <c r="F156" s="7"/>
    </row>
    <row r="157" spans="1:6" ht="30" customHeight="1">
      <c r="A157" s="7">
        <v>155</v>
      </c>
      <c r="B157" s="7" t="str">
        <f>"34542021112310285252237"</f>
        <v>34542021112310285252237</v>
      </c>
      <c r="C157" s="7" t="s">
        <v>11</v>
      </c>
      <c r="D157" s="7" t="str">
        <f>"羊菊秀"</f>
        <v>羊菊秀</v>
      </c>
      <c r="E157" s="7" t="str">
        <f t="shared" si="22"/>
        <v>女</v>
      </c>
      <c r="F157" s="7"/>
    </row>
    <row r="158" spans="1:6" ht="30" customHeight="1">
      <c r="A158" s="7">
        <v>156</v>
      </c>
      <c r="B158" s="7" t="str">
        <f>"34542021112315471552355"</f>
        <v>34542021112315471552355</v>
      </c>
      <c r="C158" s="7" t="s">
        <v>11</v>
      </c>
      <c r="D158" s="7" t="str">
        <f>"吴清仪"</f>
        <v>吴清仪</v>
      </c>
      <c r="E158" s="7" t="str">
        <f>"男"</f>
        <v>男</v>
      </c>
      <c r="F158" s="7"/>
    </row>
    <row r="159" spans="1:6" ht="30" customHeight="1">
      <c r="A159" s="7">
        <v>157</v>
      </c>
      <c r="B159" s="7" t="str">
        <f>"34542021112316170252374"</f>
        <v>34542021112316170252374</v>
      </c>
      <c r="C159" s="7" t="s">
        <v>11</v>
      </c>
      <c r="D159" s="7" t="str">
        <f>"唐萍"</f>
        <v>唐萍</v>
      </c>
      <c r="E159" s="7" t="str">
        <f aca="true" t="shared" si="23" ref="E159:E161">"女"</f>
        <v>女</v>
      </c>
      <c r="F159" s="7"/>
    </row>
    <row r="160" spans="1:6" ht="30" customHeight="1">
      <c r="A160" s="7">
        <v>158</v>
      </c>
      <c r="B160" s="7" t="str">
        <f>"34542021112319073252442"</f>
        <v>34542021112319073252442</v>
      </c>
      <c r="C160" s="7" t="s">
        <v>11</v>
      </c>
      <c r="D160" s="7" t="str">
        <f>"莫小婷"</f>
        <v>莫小婷</v>
      </c>
      <c r="E160" s="7" t="str">
        <f t="shared" si="23"/>
        <v>女</v>
      </c>
      <c r="F160" s="7"/>
    </row>
    <row r="161" spans="1:6" ht="30" customHeight="1">
      <c r="A161" s="7">
        <v>159</v>
      </c>
      <c r="B161" s="7" t="str">
        <f>"34542021112321131652491"</f>
        <v>34542021112321131652491</v>
      </c>
      <c r="C161" s="7" t="s">
        <v>11</v>
      </c>
      <c r="D161" s="7" t="str">
        <f>"曾石桃"</f>
        <v>曾石桃</v>
      </c>
      <c r="E161" s="7" t="str">
        <f t="shared" si="23"/>
        <v>女</v>
      </c>
      <c r="F161" s="7"/>
    </row>
    <row r="162" spans="1:6" ht="30" customHeight="1">
      <c r="A162" s="7">
        <v>160</v>
      </c>
      <c r="B162" s="7" t="str">
        <f>"34542021112323555252530"</f>
        <v>34542021112323555252530</v>
      </c>
      <c r="C162" s="7" t="s">
        <v>11</v>
      </c>
      <c r="D162" s="7" t="str">
        <f>"殷承辉"</f>
        <v>殷承辉</v>
      </c>
      <c r="E162" s="7" t="str">
        <f aca="true" t="shared" si="24" ref="E162:E166">"男"</f>
        <v>男</v>
      </c>
      <c r="F162" s="7"/>
    </row>
    <row r="163" spans="1:6" ht="30" customHeight="1">
      <c r="A163" s="7">
        <v>161</v>
      </c>
      <c r="B163" s="7" t="str">
        <f>"34542021112401011652535"</f>
        <v>34542021112401011652535</v>
      </c>
      <c r="C163" s="7" t="s">
        <v>11</v>
      </c>
      <c r="D163" s="7" t="str">
        <f>"周进宝"</f>
        <v>周进宝</v>
      </c>
      <c r="E163" s="7" t="str">
        <f aca="true" t="shared" si="25" ref="E163:E168">"女"</f>
        <v>女</v>
      </c>
      <c r="F163" s="7"/>
    </row>
    <row r="164" spans="1:6" ht="30" customHeight="1">
      <c r="A164" s="7">
        <v>162</v>
      </c>
      <c r="B164" s="7" t="str">
        <f>"34542021112408385152546"</f>
        <v>34542021112408385152546</v>
      </c>
      <c r="C164" s="7" t="s">
        <v>11</v>
      </c>
      <c r="D164" s="7" t="str">
        <f>"石初益"</f>
        <v>石初益</v>
      </c>
      <c r="E164" s="7" t="str">
        <f t="shared" si="25"/>
        <v>女</v>
      </c>
      <c r="F164" s="7"/>
    </row>
    <row r="165" spans="1:6" ht="30" customHeight="1">
      <c r="A165" s="7">
        <v>163</v>
      </c>
      <c r="B165" s="7" t="str">
        <f>"34542021112410461552601"</f>
        <v>34542021112410461552601</v>
      </c>
      <c r="C165" s="7" t="s">
        <v>11</v>
      </c>
      <c r="D165" s="7" t="str">
        <f>"黎维荣"</f>
        <v>黎维荣</v>
      </c>
      <c r="E165" s="7" t="str">
        <f t="shared" si="24"/>
        <v>男</v>
      </c>
      <c r="F165" s="7"/>
    </row>
    <row r="166" spans="1:6" ht="30" customHeight="1">
      <c r="A166" s="7">
        <v>164</v>
      </c>
      <c r="B166" s="7" t="str">
        <f>"34542021112411524852626"</f>
        <v>34542021112411524852626</v>
      </c>
      <c r="C166" s="7" t="s">
        <v>11</v>
      </c>
      <c r="D166" s="7" t="str">
        <f>"王善健"</f>
        <v>王善健</v>
      </c>
      <c r="E166" s="7" t="str">
        <f t="shared" si="24"/>
        <v>男</v>
      </c>
      <c r="F166" s="7"/>
    </row>
    <row r="167" spans="1:6" ht="30" customHeight="1">
      <c r="A167" s="7">
        <v>165</v>
      </c>
      <c r="B167" s="7" t="str">
        <f>"34542021112414182252655"</f>
        <v>34542021112414182252655</v>
      </c>
      <c r="C167" s="7" t="s">
        <v>11</v>
      </c>
      <c r="D167" s="7" t="str">
        <f>"王顺妮"</f>
        <v>王顺妮</v>
      </c>
      <c r="E167" s="7" t="str">
        <f t="shared" si="25"/>
        <v>女</v>
      </c>
      <c r="F167" s="7"/>
    </row>
    <row r="168" spans="1:6" ht="30" customHeight="1">
      <c r="A168" s="7">
        <v>166</v>
      </c>
      <c r="B168" s="7" t="str">
        <f>"34542021112416315552694"</f>
        <v>34542021112416315552694</v>
      </c>
      <c r="C168" s="7" t="s">
        <v>11</v>
      </c>
      <c r="D168" s="7" t="str">
        <f>"符秋凤"</f>
        <v>符秋凤</v>
      </c>
      <c r="E168" s="7" t="str">
        <f t="shared" si="25"/>
        <v>女</v>
      </c>
      <c r="F168" s="7"/>
    </row>
    <row r="169" spans="1:6" ht="30" customHeight="1">
      <c r="A169" s="7">
        <v>167</v>
      </c>
      <c r="B169" s="7" t="str">
        <f>"34542021112417263352707"</f>
        <v>34542021112417263352707</v>
      </c>
      <c r="C169" s="7" t="s">
        <v>11</v>
      </c>
      <c r="D169" s="7" t="str">
        <f>"黄国轩"</f>
        <v>黄国轩</v>
      </c>
      <c r="E169" s="7" t="str">
        <f>"男"</f>
        <v>男</v>
      </c>
      <c r="F169" s="7"/>
    </row>
    <row r="170" spans="1:6" ht="30" customHeight="1">
      <c r="A170" s="7">
        <v>168</v>
      </c>
      <c r="B170" s="7" t="str">
        <f>"34542021112419314852749"</f>
        <v>34542021112419314852749</v>
      </c>
      <c r="C170" s="7" t="s">
        <v>11</v>
      </c>
      <c r="D170" s="7" t="str">
        <f>"蔡秋丹"</f>
        <v>蔡秋丹</v>
      </c>
      <c r="E170" s="7" t="str">
        <f aca="true" t="shared" si="26" ref="E170:E175">"女"</f>
        <v>女</v>
      </c>
      <c r="F170" s="7"/>
    </row>
    <row r="171" spans="1:6" ht="30" customHeight="1">
      <c r="A171" s="7">
        <v>169</v>
      </c>
      <c r="B171" s="7" t="str">
        <f>"34542021112422385752823"</f>
        <v>34542021112422385752823</v>
      </c>
      <c r="C171" s="7" t="s">
        <v>11</v>
      </c>
      <c r="D171" s="7" t="str">
        <f>"刘思"</f>
        <v>刘思</v>
      </c>
      <c r="E171" s="7" t="str">
        <f t="shared" si="26"/>
        <v>女</v>
      </c>
      <c r="F171" s="7"/>
    </row>
    <row r="172" spans="1:6" ht="30" customHeight="1">
      <c r="A172" s="7">
        <v>170</v>
      </c>
      <c r="B172" s="7" t="str">
        <f>"34542021112508294152874"</f>
        <v>34542021112508294152874</v>
      </c>
      <c r="C172" s="7" t="s">
        <v>11</v>
      </c>
      <c r="D172" s="7" t="str">
        <f>"符显富"</f>
        <v>符显富</v>
      </c>
      <c r="E172" s="7" t="str">
        <f>"男"</f>
        <v>男</v>
      </c>
      <c r="F172" s="7"/>
    </row>
    <row r="173" spans="1:6" ht="30" customHeight="1">
      <c r="A173" s="7">
        <v>171</v>
      </c>
      <c r="B173" s="7" t="str">
        <f>"34542021112508342052876"</f>
        <v>34542021112508342052876</v>
      </c>
      <c r="C173" s="7" t="s">
        <v>11</v>
      </c>
      <c r="D173" s="7" t="str">
        <f>"陈梅"</f>
        <v>陈梅</v>
      </c>
      <c r="E173" s="7" t="str">
        <f t="shared" si="26"/>
        <v>女</v>
      </c>
      <c r="F173" s="7"/>
    </row>
    <row r="174" spans="1:6" ht="30" customHeight="1">
      <c r="A174" s="7">
        <v>172</v>
      </c>
      <c r="B174" s="7" t="str">
        <f>"34542021112510150552914"</f>
        <v>34542021112510150552914</v>
      </c>
      <c r="C174" s="7" t="s">
        <v>11</v>
      </c>
      <c r="D174" s="7" t="str">
        <f>"朱云雨"</f>
        <v>朱云雨</v>
      </c>
      <c r="E174" s="7" t="str">
        <f t="shared" si="26"/>
        <v>女</v>
      </c>
      <c r="F174" s="7"/>
    </row>
    <row r="175" spans="1:6" ht="30" customHeight="1">
      <c r="A175" s="7">
        <v>173</v>
      </c>
      <c r="B175" s="7" t="str">
        <f>"34542021111909082250426"</f>
        <v>34542021111909082250426</v>
      </c>
      <c r="C175" s="7" t="s">
        <v>12</v>
      </c>
      <c r="D175" s="7" t="str">
        <f>"吴诗诗"</f>
        <v>吴诗诗</v>
      </c>
      <c r="E175" s="7" t="str">
        <f t="shared" si="26"/>
        <v>女</v>
      </c>
      <c r="F175" s="7"/>
    </row>
    <row r="176" spans="1:6" ht="30" customHeight="1">
      <c r="A176" s="7">
        <v>174</v>
      </c>
      <c r="B176" s="7" t="str">
        <f>"34542021111910021850518"</f>
        <v>34542021111910021850518</v>
      </c>
      <c r="C176" s="7" t="s">
        <v>12</v>
      </c>
      <c r="D176" s="7" t="str">
        <f>"王炬登"</f>
        <v>王炬登</v>
      </c>
      <c r="E176" s="7" t="str">
        <f>"男"</f>
        <v>男</v>
      </c>
      <c r="F176" s="7"/>
    </row>
    <row r="177" spans="1:6" ht="30" customHeight="1">
      <c r="A177" s="7">
        <v>175</v>
      </c>
      <c r="B177" s="7" t="str">
        <f>"34542021111910273550557"</f>
        <v>34542021111910273550557</v>
      </c>
      <c r="C177" s="7" t="s">
        <v>12</v>
      </c>
      <c r="D177" s="7" t="str">
        <f>"文晓"</f>
        <v>文晓</v>
      </c>
      <c r="E177" s="7" t="str">
        <f aca="true" t="shared" si="27" ref="E177:E179">"女"</f>
        <v>女</v>
      </c>
      <c r="F177" s="7"/>
    </row>
    <row r="178" spans="1:6" ht="30" customHeight="1">
      <c r="A178" s="7">
        <v>176</v>
      </c>
      <c r="B178" s="7" t="str">
        <f>"34542021111910383950575"</f>
        <v>34542021111910383950575</v>
      </c>
      <c r="C178" s="7" t="s">
        <v>12</v>
      </c>
      <c r="D178" s="7" t="str">
        <f>"吴采芳"</f>
        <v>吴采芳</v>
      </c>
      <c r="E178" s="7" t="str">
        <f t="shared" si="27"/>
        <v>女</v>
      </c>
      <c r="F178" s="7"/>
    </row>
    <row r="179" spans="1:6" ht="30" customHeight="1">
      <c r="A179" s="7">
        <v>177</v>
      </c>
      <c r="B179" s="7" t="str">
        <f>"34542021111910414850584"</f>
        <v>34542021111910414850584</v>
      </c>
      <c r="C179" s="7" t="s">
        <v>12</v>
      </c>
      <c r="D179" s="7" t="str">
        <f>"符贞叶"</f>
        <v>符贞叶</v>
      </c>
      <c r="E179" s="7" t="str">
        <f t="shared" si="27"/>
        <v>女</v>
      </c>
      <c r="F179" s="7"/>
    </row>
    <row r="180" spans="1:6" ht="30" customHeight="1">
      <c r="A180" s="7">
        <v>178</v>
      </c>
      <c r="B180" s="7" t="str">
        <f>"34542021111910424850587"</f>
        <v>34542021111910424850587</v>
      </c>
      <c r="C180" s="7" t="s">
        <v>12</v>
      </c>
      <c r="D180" s="7" t="str">
        <f>"李博"</f>
        <v>李博</v>
      </c>
      <c r="E180" s="7" t="str">
        <f>"男"</f>
        <v>男</v>
      </c>
      <c r="F180" s="7"/>
    </row>
    <row r="181" spans="1:6" ht="30" customHeight="1">
      <c r="A181" s="7">
        <v>179</v>
      </c>
      <c r="B181" s="7" t="str">
        <f>"34542021111911042850615"</f>
        <v>34542021111911042850615</v>
      </c>
      <c r="C181" s="7" t="s">
        <v>12</v>
      </c>
      <c r="D181" s="7" t="str">
        <f>"杨静雯"</f>
        <v>杨静雯</v>
      </c>
      <c r="E181" s="7" t="str">
        <f aca="true" t="shared" si="28" ref="E181:E185">"女"</f>
        <v>女</v>
      </c>
      <c r="F181" s="7"/>
    </row>
    <row r="182" spans="1:6" ht="30" customHeight="1">
      <c r="A182" s="7">
        <v>180</v>
      </c>
      <c r="B182" s="7" t="str">
        <f>"34542021111913442750767"</f>
        <v>34542021111913442750767</v>
      </c>
      <c r="C182" s="7" t="s">
        <v>12</v>
      </c>
      <c r="D182" s="7" t="str">
        <f>"林颖怡"</f>
        <v>林颖怡</v>
      </c>
      <c r="E182" s="7" t="str">
        <f t="shared" si="28"/>
        <v>女</v>
      </c>
      <c r="F182" s="7"/>
    </row>
    <row r="183" spans="1:6" ht="30" customHeight="1">
      <c r="A183" s="7">
        <v>181</v>
      </c>
      <c r="B183" s="7" t="str">
        <f>"34542021111916124550908"</f>
        <v>34542021111916124550908</v>
      </c>
      <c r="C183" s="7" t="s">
        <v>12</v>
      </c>
      <c r="D183" s="7" t="str">
        <f>"谢东雪"</f>
        <v>谢东雪</v>
      </c>
      <c r="E183" s="7" t="str">
        <f t="shared" si="28"/>
        <v>女</v>
      </c>
      <c r="F183" s="7"/>
    </row>
    <row r="184" spans="1:6" ht="30" customHeight="1">
      <c r="A184" s="7">
        <v>182</v>
      </c>
      <c r="B184" s="7" t="str">
        <f>"34542021111916494350947"</f>
        <v>34542021111916494350947</v>
      </c>
      <c r="C184" s="7" t="s">
        <v>12</v>
      </c>
      <c r="D184" s="7" t="str">
        <f>"黄琳"</f>
        <v>黄琳</v>
      </c>
      <c r="E184" s="7" t="str">
        <f t="shared" si="28"/>
        <v>女</v>
      </c>
      <c r="F184" s="7"/>
    </row>
    <row r="185" spans="1:6" ht="30" customHeight="1">
      <c r="A185" s="7">
        <v>183</v>
      </c>
      <c r="B185" s="7" t="str">
        <f>"34542021112010143351184"</f>
        <v>34542021112010143351184</v>
      </c>
      <c r="C185" s="7" t="s">
        <v>12</v>
      </c>
      <c r="D185" s="7" t="str">
        <f>"蔡小香"</f>
        <v>蔡小香</v>
      </c>
      <c r="E185" s="7" t="str">
        <f t="shared" si="28"/>
        <v>女</v>
      </c>
      <c r="F185" s="7"/>
    </row>
    <row r="186" spans="1:6" ht="30" customHeight="1">
      <c r="A186" s="7">
        <v>184</v>
      </c>
      <c r="B186" s="7" t="str">
        <f>"34542021112022484651440"</f>
        <v>34542021112022484651440</v>
      </c>
      <c r="C186" s="7" t="s">
        <v>12</v>
      </c>
      <c r="D186" s="7" t="str">
        <f>"李春佳"</f>
        <v>李春佳</v>
      </c>
      <c r="E186" s="7" t="str">
        <f aca="true" t="shared" si="29" ref="E186:E191">"男"</f>
        <v>男</v>
      </c>
      <c r="F186" s="7"/>
    </row>
    <row r="187" spans="1:6" ht="30" customHeight="1">
      <c r="A187" s="7">
        <v>185</v>
      </c>
      <c r="B187" s="7" t="str">
        <f>"34542021112111554351519"</f>
        <v>34542021112111554351519</v>
      </c>
      <c r="C187" s="7" t="s">
        <v>12</v>
      </c>
      <c r="D187" s="7" t="str">
        <f>"陈娜"</f>
        <v>陈娜</v>
      </c>
      <c r="E187" s="7" t="str">
        <f aca="true" t="shared" si="30" ref="E187:E196">"女"</f>
        <v>女</v>
      </c>
      <c r="F187" s="7"/>
    </row>
    <row r="188" spans="1:6" ht="30" customHeight="1">
      <c r="A188" s="7">
        <v>186</v>
      </c>
      <c r="B188" s="7" t="str">
        <f>"34542021112113075851550"</f>
        <v>34542021112113075851550</v>
      </c>
      <c r="C188" s="7" t="s">
        <v>12</v>
      </c>
      <c r="D188" s="7" t="str">
        <f>"许宁"</f>
        <v>许宁</v>
      </c>
      <c r="E188" s="7" t="str">
        <f t="shared" si="29"/>
        <v>男</v>
      </c>
      <c r="F188" s="7"/>
    </row>
    <row r="189" spans="1:6" ht="30" customHeight="1">
      <c r="A189" s="7">
        <v>187</v>
      </c>
      <c r="B189" s="7" t="str">
        <f>"34542021112114301951568"</f>
        <v>34542021112114301951568</v>
      </c>
      <c r="C189" s="7" t="s">
        <v>12</v>
      </c>
      <c r="D189" s="7" t="str">
        <f>"颜秀娟"</f>
        <v>颜秀娟</v>
      </c>
      <c r="E189" s="7" t="str">
        <f t="shared" si="30"/>
        <v>女</v>
      </c>
      <c r="F189" s="7"/>
    </row>
    <row r="190" spans="1:6" ht="30" customHeight="1">
      <c r="A190" s="7">
        <v>188</v>
      </c>
      <c r="B190" s="7" t="str">
        <f>"34542021112116221451597"</f>
        <v>34542021112116221451597</v>
      </c>
      <c r="C190" s="7" t="s">
        <v>12</v>
      </c>
      <c r="D190" s="7" t="str">
        <f>"林学晓"</f>
        <v>林学晓</v>
      </c>
      <c r="E190" s="7" t="str">
        <f t="shared" si="29"/>
        <v>男</v>
      </c>
      <c r="F190" s="7"/>
    </row>
    <row r="191" spans="1:6" ht="30" customHeight="1">
      <c r="A191" s="7">
        <v>189</v>
      </c>
      <c r="B191" s="7" t="str">
        <f>"34542021112121420551701"</f>
        <v>34542021112121420551701</v>
      </c>
      <c r="C191" s="7" t="s">
        <v>12</v>
      </c>
      <c r="D191" s="7" t="str">
        <f>"羊冠三"</f>
        <v>羊冠三</v>
      </c>
      <c r="E191" s="7" t="str">
        <f t="shared" si="29"/>
        <v>男</v>
      </c>
      <c r="F191" s="7"/>
    </row>
    <row r="192" spans="1:6" ht="30" customHeight="1">
      <c r="A192" s="7">
        <v>190</v>
      </c>
      <c r="B192" s="7" t="str">
        <f>"34542021112209175351773"</f>
        <v>34542021112209175351773</v>
      </c>
      <c r="C192" s="7" t="s">
        <v>12</v>
      </c>
      <c r="D192" s="7" t="str">
        <f>"孙乾梅"</f>
        <v>孙乾梅</v>
      </c>
      <c r="E192" s="7" t="str">
        <f t="shared" si="30"/>
        <v>女</v>
      </c>
      <c r="F192" s="7"/>
    </row>
    <row r="193" spans="1:6" ht="30" customHeight="1">
      <c r="A193" s="7">
        <v>191</v>
      </c>
      <c r="B193" s="7" t="str">
        <f>"34542021112209413851790"</f>
        <v>34542021112209413851790</v>
      </c>
      <c r="C193" s="7" t="s">
        <v>12</v>
      </c>
      <c r="D193" s="7" t="str">
        <f>"叶卓芳"</f>
        <v>叶卓芳</v>
      </c>
      <c r="E193" s="7" t="str">
        <f t="shared" si="30"/>
        <v>女</v>
      </c>
      <c r="F193" s="7"/>
    </row>
    <row r="194" spans="1:6" ht="30" customHeight="1">
      <c r="A194" s="7">
        <v>192</v>
      </c>
      <c r="B194" s="7" t="str">
        <f>"34542021112210140251819"</f>
        <v>34542021112210140251819</v>
      </c>
      <c r="C194" s="7" t="s">
        <v>12</v>
      </c>
      <c r="D194" s="7" t="str">
        <f>"符家伊"</f>
        <v>符家伊</v>
      </c>
      <c r="E194" s="7" t="str">
        <f t="shared" si="30"/>
        <v>女</v>
      </c>
      <c r="F194" s="7"/>
    </row>
    <row r="195" spans="1:6" ht="30" customHeight="1">
      <c r="A195" s="7">
        <v>193</v>
      </c>
      <c r="B195" s="7" t="str">
        <f>"34542021112210161851820"</f>
        <v>34542021112210161851820</v>
      </c>
      <c r="C195" s="7" t="s">
        <v>12</v>
      </c>
      <c r="D195" s="7" t="str">
        <f>"符其绿"</f>
        <v>符其绿</v>
      </c>
      <c r="E195" s="7" t="str">
        <f t="shared" si="30"/>
        <v>女</v>
      </c>
      <c r="F195" s="7"/>
    </row>
    <row r="196" spans="1:6" ht="30" customHeight="1">
      <c r="A196" s="7">
        <v>194</v>
      </c>
      <c r="B196" s="7" t="str">
        <f>"34542021112210441651850"</f>
        <v>34542021112210441651850</v>
      </c>
      <c r="C196" s="7" t="s">
        <v>12</v>
      </c>
      <c r="D196" s="7" t="str">
        <f>"冯丽娇"</f>
        <v>冯丽娇</v>
      </c>
      <c r="E196" s="7" t="str">
        <f t="shared" si="30"/>
        <v>女</v>
      </c>
      <c r="F196" s="7"/>
    </row>
    <row r="197" spans="1:6" ht="30" customHeight="1">
      <c r="A197" s="7">
        <v>195</v>
      </c>
      <c r="B197" s="7" t="str">
        <f>"34542021112211350351872"</f>
        <v>34542021112211350351872</v>
      </c>
      <c r="C197" s="7" t="s">
        <v>12</v>
      </c>
      <c r="D197" s="7" t="str">
        <f>"周峻平"</f>
        <v>周峻平</v>
      </c>
      <c r="E197" s="7" t="str">
        <f aca="true" t="shared" si="31" ref="E197:E201">"男"</f>
        <v>男</v>
      </c>
      <c r="F197" s="7"/>
    </row>
    <row r="198" spans="1:6" ht="30" customHeight="1">
      <c r="A198" s="7">
        <v>196</v>
      </c>
      <c r="B198" s="7" t="str">
        <f>"34542021112212003151890"</f>
        <v>34542021112212003151890</v>
      </c>
      <c r="C198" s="7" t="s">
        <v>12</v>
      </c>
      <c r="D198" s="7" t="str">
        <f>"彭春美"</f>
        <v>彭春美</v>
      </c>
      <c r="E198" s="7" t="str">
        <f aca="true" t="shared" si="32" ref="E198:E204">"女"</f>
        <v>女</v>
      </c>
      <c r="F198" s="7"/>
    </row>
    <row r="199" spans="1:6" ht="30" customHeight="1">
      <c r="A199" s="7">
        <v>197</v>
      </c>
      <c r="B199" s="7" t="str">
        <f>"34542021112215162651957"</f>
        <v>34542021112215162651957</v>
      </c>
      <c r="C199" s="7" t="s">
        <v>12</v>
      </c>
      <c r="D199" s="7" t="str">
        <f>"陈婉云"</f>
        <v>陈婉云</v>
      </c>
      <c r="E199" s="7" t="str">
        <f t="shared" si="32"/>
        <v>女</v>
      </c>
      <c r="F199" s="7"/>
    </row>
    <row r="200" spans="1:6" ht="30" customHeight="1">
      <c r="A200" s="7">
        <v>198</v>
      </c>
      <c r="B200" s="7" t="str">
        <f>"34542021112217411652048"</f>
        <v>34542021112217411652048</v>
      </c>
      <c r="C200" s="7" t="s">
        <v>12</v>
      </c>
      <c r="D200" s="7" t="str">
        <f>"孙令伟"</f>
        <v>孙令伟</v>
      </c>
      <c r="E200" s="7" t="str">
        <f t="shared" si="31"/>
        <v>男</v>
      </c>
      <c r="F200" s="7"/>
    </row>
    <row r="201" spans="1:6" ht="30" customHeight="1">
      <c r="A201" s="7">
        <v>199</v>
      </c>
      <c r="B201" s="7" t="str">
        <f>"34542021112217425652051"</f>
        <v>34542021112217425652051</v>
      </c>
      <c r="C201" s="7" t="s">
        <v>12</v>
      </c>
      <c r="D201" s="7" t="str">
        <f>"吴健平"</f>
        <v>吴健平</v>
      </c>
      <c r="E201" s="7" t="str">
        <f t="shared" si="31"/>
        <v>男</v>
      </c>
      <c r="F201" s="7"/>
    </row>
    <row r="202" spans="1:6" ht="30" customHeight="1">
      <c r="A202" s="7">
        <v>200</v>
      </c>
      <c r="B202" s="7" t="str">
        <f>"34542021112219444052093"</f>
        <v>34542021112219444052093</v>
      </c>
      <c r="C202" s="7" t="s">
        <v>12</v>
      </c>
      <c r="D202" s="7" t="str">
        <f>"林帝颖"</f>
        <v>林帝颖</v>
      </c>
      <c r="E202" s="7" t="str">
        <f t="shared" si="32"/>
        <v>女</v>
      </c>
      <c r="F202" s="7"/>
    </row>
    <row r="203" spans="1:6" ht="30" customHeight="1">
      <c r="A203" s="7">
        <v>201</v>
      </c>
      <c r="B203" s="7" t="str">
        <f>"34542021112220035052102"</f>
        <v>34542021112220035052102</v>
      </c>
      <c r="C203" s="7" t="s">
        <v>12</v>
      </c>
      <c r="D203" s="7" t="str">
        <f>"邢丽雅"</f>
        <v>邢丽雅</v>
      </c>
      <c r="E203" s="7" t="str">
        <f t="shared" si="32"/>
        <v>女</v>
      </c>
      <c r="F203" s="7"/>
    </row>
    <row r="204" spans="1:6" ht="30" customHeight="1">
      <c r="A204" s="7">
        <v>202</v>
      </c>
      <c r="B204" s="7" t="str">
        <f>"34542021112220312552112"</f>
        <v>34542021112220312552112</v>
      </c>
      <c r="C204" s="7" t="s">
        <v>12</v>
      </c>
      <c r="D204" s="7" t="str">
        <f>"王蕾"</f>
        <v>王蕾</v>
      </c>
      <c r="E204" s="7" t="str">
        <f t="shared" si="32"/>
        <v>女</v>
      </c>
      <c r="F204" s="7"/>
    </row>
    <row r="205" spans="1:6" ht="30" customHeight="1">
      <c r="A205" s="7">
        <v>203</v>
      </c>
      <c r="B205" s="7" t="str">
        <f>"34542021112221252752131"</f>
        <v>34542021112221252752131</v>
      </c>
      <c r="C205" s="7" t="s">
        <v>12</v>
      </c>
      <c r="D205" s="7" t="str">
        <f>"洪涛"</f>
        <v>洪涛</v>
      </c>
      <c r="E205" s="7" t="str">
        <f>"男"</f>
        <v>男</v>
      </c>
      <c r="F205" s="7"/>
    </row>
    <row r="206" spans="1:6" ht="30" customHeight="1">
      <c r="A206" s="7">
        <v>204</v>
      </c>
      <c r="B206" s="7" t="str">
        <f>"34542021112222515452170"</f>
        <v>34542021112222515452170</v>
      </c>
      <c r="C206" s="7" t="s">
        <v>12</v>
      </c>
      <c r="D206" s="7" t="str">
        <f>"羊家聪"</f>
        <v>羊家聪</v>
      </c>
      <c r="E206" s="7" t="str">
        <f>"男"</f>
        <v>男</v>
      </c>
      <c r="F206" s="7"/>
    </row>
    <row r="207" spans="1:6" ht="30" customHeight="1">
      <c r="A207" s="7">
        <v>205</v>
      </c>
      <c r="B207" s="7" t="str">
        <f>"34542021112309461652218"</f>
        <v>34542021112309461652218</v>
      </c>
      <c r="C207" s="7" t="s">
        <v>12</v>
      </c>
      <c r="D207" s="7" t="str">
        <f>"王丽敏"</f>
        <v>王丽敏</v>
      </c>
      <c r="E207" s="7" t="str">
        <f aca="true" t="shared" si="33" ref="E207:E210">"女"</f>
        <v>女</v>
      </c>
      <c r="F207" s="7"/>
    </row>
    <row r="208" spans="1:6" ht="30" customHeight="1">
      <c r="A208" s="7">
        <v>206</v>
      </c>
      <c r="B208" s="7" t="str">
        <f>"34542021112310352852240"</f>
        <v>34542021112310352852240</v>
      </c>
      <c r="C208" s="7" t="s">
        <v>12</v>
      </c>
      <c r="D208" s="7" t="str">
        <f>"苏晓珍"</f>
        <v>苏晓珍</v>
      </c>
      <c r="E208" s="7" t="str">
        <f t="shared" si="33"/>
        <v>女</v>
      </c>
      <c r="F208" s="7"/>
    </row>
    <row r="209" spans="1:6" ht="30" customHeight="1">
      <c r="A209" s="7">
        <v>207</v>
      </c>
      <c r="B209" s="7" t="str">
        <f>"34542021112314525052327"</f>
        <v>34542021112314525052327</v>
      </c>
      <c r="C209" s="7" t="s">
        <v>12</v>
      </c>
      <c r="D209" s="7" t="str">
        <f>"刘远芳"</f>
        <v>刘远芳</v>
      </c>
      <c r="E209" s="7" t="str">
        <f t="shared" si="33"/>
        <v>女</v>
      </c>
      <c r="F209" s="7"/>
    </row>
    <row r="210" spans="1:6" ht="30" customHeight="1">
      <c r="A210" s="7">
        <v>208</v>
      </c>
      <c r="B210" s="7" t="str">
        <f>"34542021112315081752337"</f>
        <v>34542021112315081752337</v>
      </c>
      <c r="C210" s="7" t="s">
        <v>12</v>
      </c>
      <c r="D210" s="7" t="str">
        <f>"王康静"</f>
        <v>王康静</v>
      </c>
      <c r="E210" s="7" t="str">
        <f t="shared" si="33"/>
        <v>女</v>
      </c>
      <c r="F210" s="7"/>
    </row>
    <row r="211" spans="1:6" ht="30" customHeight="1">
      <c r="A211" s="7">
        <v>209</v>
      </c>
      <c r="B211" s="7" t="str">
        <f>"34542021112316123452371"</f>
        <v>34542021112316123452371</v>
      </c>
      <c r="C211" s="7" t="s">
        <v>12</v>
      </c>
      <c r="D211" s="7" t="str">
        <f>"吴振"</f>
        <v>吴振</v>
      </c>
      <c r="E211" s="7" t="str">
        <f aca="true" t="shared" si="34" ref="E211:E214">"男"</f>
        <v>男</v>
      </c>
      <c r="F211" s="7"/>
    </row>
    <row r="212" spans="1:6" ht="30" customHeight="1">
      <c r="A212" s="7">
        <v>210</v>
      </c>
      <c r="B212" s="7" t="str">
        <f>"34542021112408350752545"</f>
        <v>34542021112408350752545</v>
      </c>
      <c r="C212" s="7" t="s">
        <v>12</v>
      </c>
      <c r="D212" s="7" t="str">
        <f>"冯祥盛"</f>
        <v>冯祥盛</v>
      </c>
      <c r="E212" s="7" t="str">
        <f t="shared" si="34"/>
        <v>男</v>
      </c>
      <c r="F212" s="7"/>
    </row>
    <row r="213" spans="1:6" ht="30" customHeight="1">
      <c r="A213" s="7">
        <v>211</v>
      </c>
      <c r="B213" s="7" t="str">
        <f>"34542021112408531052554"</f>
        <v>34542021112408531052554</v>
      </c>
      <c r="C213" s="7" t="s">
        <v>12</v>
      </c>
      <c r="D213" s="7" t="str">
        <f>"赵世兰"</f>
        <v>赵世兰</v>
      </c>
      <c r="E213" s="7" t="str">
        <f aca="true" t="shared" si="35" ref="E213:E218">"女"</f>
        <v>女</v>
      </c>
      <c r="F213" s="7"/>
    </row>
    <row r="214" spans="1:6" ht="30" customHeight="1">
      <c r="A214" s="7">
        <v>212</v>
      </c>
      <c r="B214" s="7" t="str">
        <f>"34542021112409512252568"</f>
        <v>34542021112409512252568</v>
      </c>
      <c r="C214" s="7" t="s">
        <v>12</v>
      </c>
      <c r="D214" s="7" t="str">
        <f>"吴胜凯"</f>
        <v>吴胜凯</v>
      </c>
      <c r="E214" s="7" t="str">
        <f t="shared" si="34"/>
        <v>男</v>
      </c>
      <c r="F214" s="7"/>
    </row>
    <row r="215" spans="1:6" ht="30" customHeight="1">
      <c r="A215" s="7">
        <v>213</v>
      </c>
      <c r="B215" s="7" t="str">
        <f>"34542021112410244252586"</f>
        <v>34542021112410244252586</v>
      </c>
      <c r="C215" s="7" t="s">
        <v>12</v>
      </c>
      <c r="D215" s="7" t="str">
        <f>"黄宝姣"</f>
        <v>黄宝姣</v>
      </c>
      <c r="E215" s="7" t="str">
        <f t="shared" si="35"/>
        <v>女</v>
      </c>
      <c r="F215" s="7"/>
    </row>
    <row r="216" spans="1:6" ht="30" customHeight="1">
      <c r="A216" s="7">
        <v>214</v>
      </c>
      <c r="B216" s="7" t="str">
        <f>"34542021112414585052659"</f>
        <v>34542021112414585052659</v>
      </c>
      <c r="C216" s="7" t="s">
        <v>12</v>
      </c>
      <c r="D216" s="7" t="str">
        <f>"彭翎"</f>
        <v>彭翎</v>
      </c>
      <c r="E216" s="7" t="str">
        <f t="shared" si="35"/>
        <v>女</v>
      </c>
      <c r="F216" s="7"/>
    </row>
    <row r="217" spans="1:6" ht="30" customHeight="1">
      <c r="A217" s="7">
        <v>215</v>
      </c>
      <c r="B217" s="7" t="str">
        <f>"34542021112416165452688"</f>
        <v>34542021112416165452688</v>
      </c>
      <c r="C217" s="7" t="s">
        <v>12</v>
      </c>
      <c r="D217" s="7" t="str">
        <f>"何君钰"</f>
        <v>何君钰</v>
      </c>
      <c r="E217" s="7" t="str">
        <f t="shared" si="35"/>
        <v>女</v>
      </c>
      <c r="F217" s="7"/>
    </row>
    <row r="218" spans="1:6" ht="30" customHeight="1">
      <c r="A218" s="7">
        <v>216</v>
      </c>
      <c r="B218" s="7" t="str">
        <f>"34542021112511482152956"</f>
        <v>34542021112511482152956</v>
      </c>
      <c r="C218" s="7" t="s">
        <v>12</v>
      </c>
      <c r="D218" s="7" t="str">
        <f>"邝才林"</f>
        <v>邝才林</v>
      </c>
      <c r="E218" s="7" t="str">
        <f t="shared" si="35"/>
        <v>女</v>
      </c>
      <c r="F218" s="7"/>
    </row>
    <row r="219" spans="1:6" ht="30" customHeight="1">
      <c r="A219" s="7">
        <v>217</v>
      </c>
      <c r="B219" s="7" t="str">
        <f>"34542021111909012450401"</f>
        <v>34542021111909012450401</v>
      </c>
      <c r="C219" s="7" t="s">
        <v>13</v>
      </c>
      <c r="D219" s="7" t="str">
        <f>"许旭东"</f>
        <v>许旭东</v>
      </c>
      <c r="E219" s="7" t="str">
        <f aca="true" t="shared" si="36" ref="E219:E232">"男"</f>
        <v>男</v>
      </c>
      <c r="F219" s="7"/>
    </row>
    <row r="220" spans="1:6" ht="30" customHeight="1">
      <c r="A220" s="7">
        <v>218</v>
      </c>
      <c r="B220" s="7" t="str">
        <f>"34542021111915365750865"</f>
        <v>34542021111915365750865</v>
      </c>
      <c r="C220" s="7" t="s">
        <v>13</v>
      </c>
      <c r="D220" s="7" t="str">
        <f>"谢开琦"</f>
        <v>谢开琦</v>
      </c>
      <c r="E220" s="7" t="str">
        <f t="shared" si="36"/>
        <v>男</v>
      </c>
      <c r="F220" s="7"/>
    </row>
    <row r="221" spans="1:6" ht="30" customHeight="1">
      <c r="A221" s="7">
        <v>219</v>
      </c>
      <c r="B221" s="7" t="str">
        <f>"34542021112008540051155"</f>
        <v>34542021112008540051155</v>
      </c>
      <c r="C221" s="7" t="s">
        <v>13</v>
      </c>
      <c r="D221" s="7" t="str">
        <f>"冯所宁"</f>
        <v>冯所宁</v>
      </c>
      <c r="E221" s="7" t="str">
        <f t="shared" si="36"/>
        <v>男</v>
      </c>
      <c r="F221" s="7"/>
    </row>
    <row r="222" spans="1:6" ht="30" customHeight="1">
      <c r="A222" s="7">
        <v>220</v>
      </c>
      <c r="B222" s="7" t="str">
        <f>"34542021112108595251468"</f>
        <v>34542021112108595251468</v>
      </c>
      <c r="C222" s="7" t="s">
        <v>13</v>
      </c>
      <c r="D222" s="7" t="str">
        <f>"李润东"</f>
        <v>李润东</v>
      </c>
      <c r="E222" s="7" t="str">
        <f t="shared" si="36"/>
        <v>男</v>
      </c>
      <c r="F222" s="7"/>
    </row>
    <row r="223" spans="1:6" ht="30" customHeight="1">
      <c r="A223" s="7">
        <v>221</v>
      </c>
      <c r="B223" s="7" t="str">
        <f>"34542021112112025651523"</f>
        <v>34542021112112025651523</v>
      </c>
      <c r="C223" s="7" t="s">
        <v>13</v>
      </c>
      <c r="D223" s="7" t="str">
        <f>"王冠"</f>
        <v>王冠</v>
      </c>
      <c r="E223" s="7" t="str">
        <f t="shared" si="36"/>
        <v>男</v>
      </c>
      <c r="F223" s="7"/>
    </row>
    <row r="224" spans="1:6" ht="30" customHeight="1">
      <c r="A224" s="7">
        <v>222</v>
      </c>
      <c r="B224" s="7" t="str">
        <f>"34542021112113042951548"</f>
        <v>34542021112113042951548</v>
      </c>
      <c r="C224" s="7" t="s">
        <v>13</v>
      </c>
      <c r="D224" s="7" t="str">
        <f>"黎贵善"</f>
        <v>黎贵善</v>
      </c>
      <c r="E224" s="7" t="str">
        <f t="shared" si="36"/>
        <v>男</v>
      </c>
      <c r="F224" s="7"/>
    </row>
    <row r="225" spans="1:6" ht="30" customHeight="1">
      <c r="A225" s="7">
        <v>223</v>
      </c>
      <c r="B225" s="7" t="str">
        <f>"34542021112123144151723"</f>
        <v>34542021112123144151723</v>
      </c>
      <c r="C225" s="7" t="s">
        <v>13</v>
      </c>
      <c r="D225" s="7" t="str">
        <f>"李文宇"</f>
        <v>李文宇</v>
      </c>
      <c r="E225" s="7" t="str">
        <f t="shared" si="36"/>
        <v>男</v>
      </c>
      <c r="F225" s="7"/>
    </row>
    <row r="226" spans="1:6" ht="30" customHeight="1">
      <c r="A226" s="7">
        <v>224</v>
      </c>
      <c r="B226" s="7" t="str">
        <f>"34542021112209072251758"</f>
        <v>34542021112209072251758</v>
      </c>
      <c r="C226" s="7" t="s">
        <v>13</v>
      </c>
      <c r="D226" s="7" t="str">
        <f>"陈德叶"</f>
        <v>陈德叶</v>
      </c>
      <c r="E226" s="7" t="str">
        <f t="shared" si="36"/>
        <v>男</v>
      </c>
      <c r="F226" s="7"/>
    </row>
    <row r="227" spans="1:6" ht="30" customHeight="1">
      <c r="A227" s="7">
        <v>225</v>
      </c>
      <c r="B227" s="7" t="str">
        <f>"34542021112209134451769"</f>
        <v>34542021112209134451769</v>
      </c>
      <c r="C227" s="7" t="s">
        <v>13</v>
      </c>
      <c r="D227" s="7" t="str">
        <f>"谢祖笔"</f>
        <v>谢祖笔</v>
      </c>
      <c r="E227" s="7" t="str">
        <f t="shared" si="36"/>
        <v>男</v>
      </c>
      <c r="F227" s="7"/>
    </row>
    <row r="228" spans="1:6" ht="30" customHeight="1">
      <c r="A228" s="7">
        <v>226</v>
      </c>
      <c r="B228" s="7" t="str">
        <f>"34542021112209554751804"</f>
        <v>34542021112209554751804</v>
      </c>
      <c r="C228" s="7" t="s">
        <v>13</v>
      </c>
      <c r="D228" s="7" t="str">
        <f>"李宁"</f>
        <v>李宁</v>
      </c>
      <c r="E228" s="7" t="str">
        <f t="shared" si="36"/>
        <v>男</v>
      </c>
      <c r="F228" s="7"/>
    </row>
    <row r="229" spans="1:6" ht="30" customHeight="1">
      <c r="A229" s="7">
        <v>227</v>
      </c>
      <c r="B229" s="7" t="str">
        <f>"34542021112211222351867"</f>
        <v>34542021112211222351867</v>
      </c>
      <c r="C229" s="7" t="s">
        <v>13</v>
      </c>
      <c r="D229" s="7" t="str">
        <f>"高新虎"</f>
        <v>高新虎</v>
      </c>
      <c r="E229" s="7" t="str">
        <f t="shared" si="36"/>
        <v>男</v>
      </c>
      <c r="F229" s="7"/>
    </row>
    <row r="230" spans="1:6" ht="30" customHeight="1">
      <c r="A230" s="7">
        <v>228</v>
      </c>
      <c r="B230" s="7" t="str">
        <f>"34542021112309320952212"</f>
        <v>34542021112309320952212</v>
      </c>
      <c r="C230" s="7" t="s">
        <v>13</v>
      </c>
      <c r="D230" s="7" t="str">
        <f>"王名圣"</f>
        <v>王名圣</v>
      </c>
      <c r="E230" s="7" t="str">
        <f t="shared" si="36"/>
        <v>男</v>
      </c>
      <c r="F230" s="7"/>
    </row>
    <row r="231" spans="1:6" ht="30" customHeight="1">
      <c r="A231" s="7">
        <v>229</v>
      </c>
      <c r="B231" s="7" t="str">
        <f>"34542021111909402350484"</f>
        <v>34542021111909402350484</v>
      </c>
      <c r="C231" s="7" t="s">
        <v>14</v>
      </c>
      <c r="D231" s="7" t="str">
        <f>"黄吉承"</f>
        <v>黄吉承</v>
      </c>
      <c r="E231" s="7" t="str">
        <f t="shared" si="36"/>
        <v>男</v>
      </c>
      <c r="F231" s="7"/>
    </row>
    <row r="232" spans="1:6" ht="30" customHeight="1">
      <c r="A232" s="7">
        <v>230</v>
      </c>
      <c r="B232" s="7" t="str">
        <f>"34542021111912090350691"</f>
        <v>34542021111912090350691</v>
      </c>
      <c r="C232" s="7" t="s">
        <v>14</v>
      </c>
      <c r="D232" s="7" t="str">
        <f>"董继伟"</f>
        <v>董继伟</v>
      </c>
      <c r="E232" s="7" t="str">
        <f t="shared" si="36"/>
        <v>男</v>
      </c>
      <c r="F232" s="7"/>
    </row>
    <row r="233" spans="1:6" ht="30" customHeight="1">
      <c r="A233" s="7">
        <v>231</v>
      </c>
      <c r="B233" s="7" t="str">
        <f>"34542021112101415851455"</f>
        <v>34542021112101415851455</v>
      </c>
      <c r="C233" s="7" t="s">
        <v>14</v>
      </c>
      <c r="D233" s="7" t="str">
        <f>"吴晓鑫"</f>
        <v>吴晓鑫</v>
      </c>
      <c r="E233" s="7" t="str">
        <f>"女"</f>
        <v>女</v>
      </c>
      <c r="F233" s="7"/>
    </row>
    <row r="234" spans="1:6" ht="30" customHeight="1">
      <c r="A234" s="7">
        <v>232</v>
      </c>
      <c r="B234" s="7" t="str">
        <f>"34542021112215471851982"</f>
        <v>34542021112215471851982</v>
      </c>
      <c r="C234" s="7" t="s">
        <v>14</v>
      </c>
      <c r="D234" s="7" t="str">
        <f>"谢秋爱"</f>
        <v>谢秋爱</v>
      </c>
      <c r="E234" s="7" t="str">
        <f>"女"</f>
        <v>女</v>
      </c>
      <c r="F234" s="7"/>
    </row>
    <row r="235" spans="1:6" ht="30" customHeight="1">
      <c r="A235" s="7">
        <v>233</v>
      </c>
      <c r="B235" s="7" t="str">
        <f>"34542021111909015050403"</f>
        <v>34542021111909015050403</v>
      </c>
      <c r="C235" s="7" t="s">
        <v>15</v>
      </c>
      <c r="D235" s="7" t="str">
        <f>"叶金秋"</f>
        <v>叶金秋</v>
      </c>
      <c r="E235" s="7" t="str">
        <f aca="true" t="shared" si="37" ref="E233:E237">"女"</f>
        <v>女</v>
      </c>
      <c r="F235" s="7"/>
    </row>
    <row r="236" spans="1:6" ht="30" customHeight="1">
      <c r="A236" s="7">
        <v>234</v>
      </c>
      <c r="B236" s="7" t="str">
        <f>"34542021111909030050408"</f>
        <v>34542021111909030050408</v>
      </c>
      <c r="C236" s="7" t="s">
        <v>15</v>
      </c>
      <c r="D236" s="7" t="str">
        <f>"符丽婷"</f>
        <v>符丽婷</v>
      </c>
      <c r="E236" s="7" t="str">
        <f t="shared" si="37"/>
        <v>女</v>
      </c>
      <c r="F236" s="7"/>
    </row>
    <row r="237" spans="1:6" ht="30" customHeight="1">
      <c r="A237" s="7">
        <v>235</v>
      </c>
      <c r="B237" s="7" t="str">
        <f>"34542021111909152650440"</f>
        <v>34542021111909152650440</v>
      </c>
      <c r="C237" s="7" t="s">
        <v>15</v>
      </c>
      <c r="D237" s="7" t="str">
        <f>"陈德嫒"</f>
        <v>陈德嫒</v>
      </c>
      <c r="E237" s="7" t="str">
        <f t="shared" si="37"/>
        <v>女</v>
      </c>
      <c r="F237" s="7"/>
    </row>
    <row r="238" spans="1:6" ht="30" customHeight="1">
      <c r="A238" s="7">
        <v>236</v>
      </c>
      <c r="B238" s="7" t="str">
        <f>"34542021111909161850442"</f>
        <v>34542021111909161850442</v>
      </c>
      <c r="C238" s="7" t="s">
        <v>15</v>
      </c>
      <c r="D238" s="7" t="str">
        <f>"潘城洲"</f>
        <v>潘城洲</v>
      </c>
      <c r="E238" s="7" t="str">
        <f aca="true" t="shared" si="38" ref="E238:E241">"男"</f>
        <v>男</v>
      </c>
      <c r="F238" s="7"/>
    </row>
    <row r="239" spans="1:6" ht="30" customHeight="1">
      <c r="A239" s="7">
        <v>237</v>
      </c>
      <c r="B239" s="7" t="str">
        <f>"34542021111909234950458"</f>
        <v>34542021111909234950458</v>
      </c>
      <c r="C239" s="7" t="s">
        <v>15</v>
      </c>
      <c r="D239" s="7" t="str">
        <f>"张燕慧"</f>
        <v>张燕慧</v>
      </c>
      <c r="E239" s="7" t="str">
        <f aca="true" t="shared" si="39" ref="E239:E247">"女"</f>
        <v>女</v>
      </c>
      <c r="F239" s="7"/>
    </row>
    <row r="240" spans="1:6" ht="30" customHeight="1">
      <c r="A240" s="7">
        <v>238</v>
      </c>
      <c r="B240" s="7" t="str">
        <f>"34542021111909260250462"</f>
        <v>34542021111909260250462</v>
      </c>
      <c r="C240" s="7" t="s">
        <v>15</v>
      </c>
      <c r="D240" s="7" t="str">
        <f>"王登"</f>
        <v>王登</v>
      </c>
      <c r="E240" s="7" t="str">
        <f t="shared" si="38"/>
        <v>男</v>
      </c>
      <c r="F240" s="7"/>
    </row>
    <row r="241" spans="1:6" ht="30" customHeight="1">
      <c r="A241" s="7">
        <v>239</v>
      </c>
      <c r="B241" s="7" t="str">
        <f>"34542021111909385050482"</f>
        <v>34542021111909385050482</v>
      </c>
      <c r="C241" s="7" t="s">
        <v>15</v>
      </c>
      <c r="D241" s="7" t="str">
        <f>"李达波"</f>
        <v>李达波</v>
      </c>
      <c r="E241" s="7" t="str">
        <f t="shared" si="38"/>
        <v>男</v>
      </c>
      <c r="F241" s="7"/>
    </row>
    <row r="242" spans="1:6" ht="30" customHeight="1">
      <c r="A242" s="7">
        <v>240</v>
      </c>
      <c r="B242" s="7" t="str">
        <f>"34542021111909444750493"</f>
        <v>34542021111909444750493</v>
      </c>
      <c r="C242" s="7" t="s">
        <v>15</v>
      </c>
      <c r="D242" s="7" t="str">
        <f>"符彩花"</f>
        <v>符彩花</v>
      </c>
      <c r="E242" s="7" t="str">
        <f t="shared" si="39"/>
        <v>女</v>
      </c>
      <c r="F242" s="7"/>
    </row>
    <row r="243" spans="1:6" ht="30" customHeight="1">
      <c r="A243" s="7">
        <v>241</v>
      </c>
      <c r="B243" s="7" t="str">
        <f>"34542021111910111850532"</f>
        <v>34542021111910111850532</v>
      </c>
      <c r="C243" s="7" t="s">
        <v>15</v>
      </c>
      <c r="D243" s="7" t="str">
        <f>"符永佳"</f>
        <v>符永佳</v>
      </c>
      <c r="E243" s="7" t="str">
        <f t="shared" si="39"/>
        <v>女</v>
      </c>
      <c r="F243" s="7"/>
    </row>
    <row r="244" spans="1:6" ht="30" customHeight="1">
      <c r="A244" s="7">
        <v>242</v>
      </c>
      <c r="B244" s="7" t="str">
        <f>"34542021111910164150538"</f>
        <v>34542021111910164150538</v>
      </c>
      <c r="C244" s="7" t="s">
        <v>15</v>
      </c>
      <c r="D244" s="7" t="str">
        <f>"梁春桃"</f>
        <v>梁春桃</v>
      </c>
      <c r="E244" s="7" t="str">
        <f t="shared" si="39"/>
        <v>女</v>
      </c>
      <c r="F244" s="7"/>
    </row>
    <row r="245" spans="1:6" ht="30" customHeight="1">
      <c r="A245" s="7">
        <v>243</v>
      </c>
      <c r="B245" s="7" t="str">
        <f>"34542021111910181050539"</f>
        <v>34542021111910181050539</v>
      </c>
      <c r="C245" s="7" t="s">
        <v>15</v>
      </c>
      <c r="D245" s="7" t="str">
        <f>"李珠"</f>
        <v>李珠</v>
      </c>
      <c r="E245" s="7" t="str">
        <f t="shared" si="39"/>
        <v>女</v>
      </c>
      <c r="F245" s="7"/>
    </row>
    <row r="246" spans="1:6" ht="30" customHeight="1">
      <c r="A246" s="7">
        <v>244</v>
      </c>
      <c r="B246" s="7" t="str">
        <f>"34542021111910201350543"</f>
        <v>34542021111910201350543</v>
      </c>
      <c r="C246" s="7" t="s">
        <v>15</v>
      </c>
      <c r="D246" s="7" t="str">
        <f>"李喜兰"</f>
        <v>李喜兰</v>
      </c>
      <c r="E246" s="7" t="str">
        <f t="shared" si="39"/>
        <v>女</v>
      </c>
      <c r="F246" s="7"/>
    </row>
    <row r="247" spans="1:6" ht="30" customHeight="1">
      <c r="A247" s="7">
        <v>245</v>
      </c>
      <c r="B247" s="7" t="str">
        <f>"34542021111910202350544"</f>
        <v>34542021111910202350544</v>
      </c>
      <c r="C247" s="7" t="s">
        <v>15</v>
      </c>
      <c r="D247" s="7" t="str">
        <f>"李永平"</f>
        <v>李永平</v>
      </c>
      <c r="E247" s="7" t="str">
        <f t="shared" si="39"/>
        <v>女</v>
      </c>
      <c r="F247" s="7"/>
    </row>
    <row r="248" spans="1:6" ht="30" customHeight="1">
      <c r="A248" s="7">
        <v>246</v>
      </c>
      <c r="B248" s="7" t="str">
        <f>"34542021111910250150556"</f>
        <v>34542021111910250150556</v>
      </c>
      <c r="C248" s="7" t="s">
        <v>15</v>
      </c>
      <c r="D248" s="7" t="str">
        <f>"王锡钦"</f>
        <v>王锡钦</v>
      </c>
      <c r="E248" s="7" t="str">
        <f aca="true" t="shared" si="40" ref="E248:E254">"男"</f>
        <v>男</v>
      </c>
      <c r="F248" s="7"/>
    </row>
    <row r="249" spans="1:6" ht="30" customHeight="1">
      <c r="A249" s="7">
        <v>247</v>
      </c>
      <c r="B249" s="7" t="str">
        <f>"34542021111910360850568"</f>
        <v>34542021111910360850568</v>
      </c>
      <c r="C249" s="7" t="s">
        <v>15</v>
      </c>
      <c r="D249" s="7" t="str">
        <f>"曾秋丹"</f>
        <v>曾秋丹</v>
      </c>
      <c r="E249" s="7" t="str">
        <f aca="true" t="shared" si="41" ref="E249:E252">"女"</f>
        <v>女</v>
      </c>
      <c r="F249" s="7"/>
    </row>
    <row r="250" spans="1:6" ht="30" customHeight="1">
      <c r="A250" s="7">
        <v>248</v>
      </c>
      <c r="B250" s="7" t="str">
        <f>"34542021111910511750595"</f>
        <v>34542021111910511750595</v>
      </c>
      <c r="C250" s="7" t="s">
        <v>15</v>
      </c>
      <c r="D250" s="7" t="str">
        <f>"陈锦儒"</f>
        <v>陈锦儒</v>
      </c>
      <c r="E250" s="7" t="str">
        <f t="shared" si="40"/>
        <v>男</v>
      </c>
      <c r="F250" s="7"/>
    </row>
    <row r="251" spans="1:6" ht="30" customHeight="1">
      <c r="A251" s="7">
        <v>249</v>
      </c>
      <c r="B251" s="7" t="str">
        <f>"34542021111910523350597"</f>
        <v>34542021111910523350597</v>
      </c>
      <c r="C251" s="7" t="s">
        <v>15</v>
      </c>
      <c r="D251" s="7" t="str">
        <f>"李茂霞"</f>
        <v>李茂霞</v>
      </c>
      <c r="E251" s="7" t="str">
        <f t="shared" si="41"/>
        <v>女</v>
      </c>
      <c r="F251" s="7"/>
    </row>
    <row r="252" spans="1:6" ht="30" customHeight="1">
      <c r="A252" s="7">
        <v>250</v>
      </c>
      <c r="B252" s="7" t="str">
        <f>"34542021111910541250599"</f>
        <v>34542021111910541250599</v>
      </c>
      <c r="C252" s="7" t="s">
        <v>15</v>
      </c>
      <c r="D252" s="7" t="str">
        <f>"麦秋翠"</f>
        <v>麦秋翠</v>
      </c>
      <c r="E252" s="7" t="str">
        <f t="shared" si="41"/>
        <v>女</v>
      </c>
      <c r="F252" s="7"/>
    </row>
    <row r="253" spans="1:6" ht="30" customHeight="1">
      <c r="A253" s="7">
        <v>251</v>
      </c>
      <c r="B253" s="7" t="str">
        <f>"34542021111910565450601"</f>
        <v>34542021111910565450601</v>
      </c>
      <c r="C253" s="7" t="s">
        <v>15</v>
      </c>
      <c r="D253" s="7" t="str">
        <f>"陈世珲"</f>
        <v>陈世珲</v>
      </c>
      <c r="E253" s="7" t="str">
        <f t="shared" si="40"/>
        <v>男</v>
      </c>
      <c r="F253" s="7"/>
    </row>
    <row r="254" spans="1:6" ht="30" customHeight="1">
      <c r="A254" s="7">
        <v>252</v>
      </c>
      <c r="B254" s="7" t="str">
        <f>"34542021111911003550608"</f>
        <v>34542021111911003550608</v>
      </c>
      <c r="C254" s="7" t="s">
        <v>15</v>
      </c>
      <c r="D254" s="7" t="str">
        <f>"李向城"</f>
        <v>李向城</v>
      </c>
      <c r="E254" s="7" t="str">
        <f t="shared" si="40"/>
        <v>男</v>
      </c>
      <c r="F254" s="7"/>
    </row>
    <row r="255" spans="1:6" ht="30" customHeight="1">
      <c r="A255" s="7">
        <v>253</v>
      </c>
      <c r="B255" s="7" t="str">
        <f>"34542021111911015550612"</f>
        <v>34542021111911015550612</v>
      </c>
      <c r="C255" s="7" t="s">
        <v>15</v>
      </c>
      <c r="D255" s="7" t="str">
        <f>"许雯怡"</f>
        <v>许雯怡</v>
      </c>
      <c r="E255" s="7" t="str">
        <f aca="true" t="shared" si="42" ref="E255:E260">"女"</f>
        <v>女</v>
      </c>
      <c r="F255" s="7"/>
    </row>
    <row r="256" spans="1:6" ht="30" customHeight="1">
      <c r="A256" s="7">
        <v>254</v>
      </c>
      <c r="B256" s="7" t="str">
        <f>"34542021111911183250631"</f>
        <v>34542021111911183250631</v>
      </c>
      <c r="C256" s="7" t="s">
        <v>15</v>
      </c>
      <c r="D256" s="7" t="str">
        <f>"张汉史"</f>
        <v>张汉史</v>
      </c>
      <c r="E256" s="7" t="str">
        <f aca="true" t="shared" si="43" ref="E256:E259">"男"</f>
        <v>男</v>
      </c>
      <c r="F256" s="7"/>
    </row>
    <row r="257" spans="1:6" ht="30" customHeight="1">
      <c r="A257" s="7">
        <v>255</v>
      </c>
      <c r="B257" s="7" t="str">
        <f>"34542021111911251650642"</f>
        <v>34542021111911251650642</v>
      </c>
      <c r="C257" s="7" t="s">
        <v>15</v>
      </c>
      <c r="D257" s="7" t="str">
        <f>"段金玲"</f>
        <v>段金玲</v>
      </c>
      <c r="E257" s="7" t="str">
        <f t="shared" si="42"/>
        <v>女</v>
      </c>
      <c r="F257" s="7"/>
    </row>
    <row r="258" spans="1:6" ht="30" customHeight="1">
      <c r="A258" s="7">
        <v>256</v>
      </c>
      <c r="B258" s="7" t="str">
        <f>"34542021111912002750683"</f>
        <v>34542021111912002750683</v>
      </c>
      <c r="C258" s="7" t="s">
        <v>15</v>
      </c>
      <c r="D258" s="7" t="str">
        <f>"王永亮"</f>
        <v>王永亮</v>
      </c>
      <c r="E258" s="7" t="str">
        <f t="shared" si="43"/>
        <v>男</v>
      </c>
      <c r="F258" s="7"/>
    </row>
    <row r="259" spans="1:6" ht="30" customHeight="1">
      <c r="A259" s="7">
        <v>257</v>
      </c>
      <c r="B259" s="7" t="str">
        <f>"34542021111913205050750"</f>
        <v>34542021111913205050750</v>
      </c>
      <c r="C259" s="7" t="s">
        <v>15</v>
      </c>
      <c r="D259" s="7" t="str">
        <f>"梁浩"</f>
        <v>梁浩</v>
      </c>
      <c r="E259" s="7" t="str">
        <f t="shared" si="43"/>
        <v>男</v>
      </c>
      <c r="F259" s="7"/>
    </row>
    <row r="260" spans="1:6" ht="30" customHeight="1">
      <c r="A260" s="7">
        <v>258</v>
      </c>
      <c r="B260" s="7" t="str">
        <f>"34542021111914062650783"</f>
        <v>34542021111914062650783</v>
      </c>
      <c r="C260" s="7" t="s">
        <v>15</v>
      </c>
      <c r="D260" s="7" t="str">
        <f>"李妹喜"</f>
        <v>李妹喜</v>
      </c>
      <c r="E260" s="7" t="str">
        <f t="shared" si="42"/>
        <v>女</v>
      </c>
      <c r="F260" s="7"/>
    </row>
    <row r="261" spans="1:6" ht="30" customHeight="1">
      <c r="A261" s="7">
        <v>259</v>
      </c>
      <c r="B261" s="7" t="str">
        <f>"34542021111914241250797"</f>
        <v>34542021111914241250797</v>
      </c>
      <c r="C261" s="7" t="s">
        <v>15</v>
      </c>
      <c r="D261" s="7" t="str">
        <f>"陈贤助"</f>
        <v>陈贤助</v>
      </c>
      <c r="E261" s="7" t="str">
        <f aca="true" t="shared" si="44" ref="E261:E264">"男"</f>
        <v>男</v>
      </c>
      <c r="F261" s="7"/>
    </row>
    <row r="262" spans="1:6" ht="30" customHeight="1">
      <c r="A262" s="7">
        <v>260</v>
      </c>
      <c r="B262" s="7" t="str">
        <f>"34542021111914534050820"</f>
        <v>34542021111914534050820</v>
      </c>
      <c r="C262" s="7" t="s">
        <v>15</v>
      </c>
      <c r="D262" s="7" t="str">
        <f>"李颖"</f>
        <v>李颖</v>
      </c>
      <c r="E262" s="7" t="str">
        <f aca="true" t="shared" si="45" ref="E262:E268">"女"</f>
        <v>女</v>
      </c>
      <c r="F262" s="7"/>
    </row>
    <row r="263" spans="1:6" ht="30" customHeight="1">
      <c r="A263" s="7">
        <v>261</v>
      </c>
      <c r="B263" s="7" t="str">
        <f>"34542021111914592850824"</f>
        <v>34542021111914592850824</v>
      </c>
      <c r="C263" s="7" t="s">
        <v>15</v>
      </c>
      <c r="D263" s="7" t="str">
        <f>"赵文立"</f>
        <v>赵文立</v>
      </c>
      <c r="E263" s="7" t="str">
        <f t="shared" si="44"/>
        <v>男</v>
      </c>
      <c r="F263" s="7"/>
    </row>
    <row r="264" spans="1:6" ht="30" customHeight="1">
      <c r="A264" s="7">
        <v>262</v>
      </c>
      <c r="B264" s="7" t="str">
        <f>"34542021111915104350830"</f>
        <v>34542021111915104350830</v>
      </c>
      <c r="C264" s="7" t="s">
        <v>15</v>
      </c>
      <c r="D264" s="7" t="str">
        <f>"卓世宏"</f>
        <v>卓世宏</v>
      </c>
      <c r="E264" s="7" t="str">
        <f t="shared" si="44"/>
        <v>男</v>
      </c>
      <c r="F264" s="7"/>
    </row>
    <row r="265" spans="1:6" ht="30" customHeight="1">
      <c r="A265" s="7">
        <v>263</v>
      </c>
      <c r="B265" s="7" t="str">
        <f>"34542021111915211450847"</f>
        <v>34542021111915211450847</v>
      </c>
      <c r="C265" s="7" t="s">
        <v>15</v>
      </c>
      <c r="D265" s="7" t="str">
        <f>"陈莲美"</f>
        <v>陈莲美</v>
      </c>
      <c r="E265" s="7" t="str">
        <f t="shared" si="45"/>
        <v>女</v>
      </c>
      <c r="F265" s="7"/>
    </row>
    <row r="266" spans="1:6" ht="30" customHeight="1">
      <c r="A266" s="7">
        <v>264</v>
      </c>
      <c r="B266" s="7" t="str">
        <f>"34542021111915321550860"</f>
        <v>34542021111915321550860</v>
      </c>
      <c r="C266" s="7" t="s">
        <v>15</v>
      </c>
      <c r="D266" s="7" t="str">
        <f>"陈丽"</f>
        <v>陈丽</v>
      </c>
      <c r="E266" s="7" t="str">
        <f t="shared" si="45"/>
        <v>女</v>
      </c>
      <c r="F266" s="7"/>
    </row>
    <row r="267" spans="1:6" ht="30" customHeight="1">
      <c r="A267" s="7">
        <v>265</v>
      </c>
      <c r="B267" s="7" t="str">
        <f>"34542021111915405550868"</f>
        <v>34542021111915405550868</v>
      </c>
      <c r="C267" s="7" t="s">
        <v>15</v>
      </c>
      <c r="D267" s="7" t="str">
        <f>"张运霞"</f>
        <v>张运霞</v>
      </c>
      <c r="E267" s="7" t="str">
        <f t="shared" si="45"/>
        <v>女</v>
      </c>
      <c r="F267" s="7"/>
    </row>
    <row r="268" spans="1:6" ht="30" customHeight="1">
      <c r="A268" s="7">
        <v>266</v>
      </c>
      <c r="B268" s="7" t="str">
        <f>"34542021111916290750927"</f>
        <v>34542021111916290750927</v>
      </c>
      <c r="C268" s="7" t="s">
        <v>15</v>
      </c>
      <c r="D268" s="7" t="str">
        <f>"王月琼"</f>
        <v>王月琼</v>
      </c>
      <c r="E268" s="7" t="str">
        <f t="shared" si="45"/>
        <v>女</v>
      </c>
      <c r="F268" s="7"/>
    </row>
    <row r="269" spans="1:6" ht="30" customHeight="1">
      <c r="A269" s="7">
        <v>267</v>
      </c>
      <c r="B269" s="7" t="str">
        <f>"34542021111916294650929"</f>
        <v>34542021111916294650929</v>
      </c>
      <c r="C269" s="7" t="s">
        <v>15</v>
      </c>
      <c r="D269" s="7" t="str">
        <f>"羊盛锦"</f>
        <v>羊盛锦</v>
      </c>
      <c r="E269" s="7" t="str">
        <f aca="true" t="shared" si="46" ref="E269:E273">"男"</f>
        <v>男</v>
      </c>
      <c r="F269" s="7"/>
    </row>
    <row r="270" spans="1:6" ht="30" customHeight="1">
      <c r="A270" s="7">
        <v>268</v>
      </c>
      <c r="B270" s="7" t="str">
        <f>"34542021111916412250937"</f>
        <v>34542021111916412250937</v>
      </c>
      <c r="C270" s="7" t="s">
        <v>15</v>
      </c>
      <c r="D270" s="7" t="str">
        <f>"符玲娥"</f>
        <v>符玲娥</v>
      </c>
      <c r="E270" s="7" t="str">
        <f>"女"</f>
        <v>女</v>
      </c>
      <c r="F270" s="7"/>
    </row>
    <row r="271" spans="1:6" ht="30" customHeight="1">
      <c r="A271" s="7">
        <v>269</v>
      </c>
      <c r="B271" s="7" t="str">
        <f>"34542021111916452250942"</f>
        <v>34542021111916452250942</v>
      </c>
      <c r="C271" s="7" t="s">
        <v>15</v>
      </c>
      <c r="D271" s="7" t="str">
        <f>"文精义"</f>
        <v>文精义</v>
      </c>
      <c r="E271" s="7" t="str">
        <f t="shared" si="46"/>
        <v>男</v>
      </c>
      <c r="F271" s="7"/>
    </row>
    <row r="272" spans="1:6" ht="30" customHeight="1">
      <c r="A272" s="7">
        <v>270</v>
      </c>
      <c r="B272" s="7" t="str">
        <f>"34542021111916473550944"</f>
        <v>34542021111916473550944</v>
      </c>
      <c r="C272" s="7" t="s">
        <v>15</v>
      </c>
      <c r="D272" s="7" t="str">
        <f>"罗泰帅"</f>
        <v>罗泰帅</v>
      </c>
      <c r="E272" s="7" t="str">
        <f t="shared" si="46"/>
        <v>男</v>
      </c>
      <c r="F272" s="7"/>
    </row>
    <row r="273" spans="1:6" ht="30" customHeight="1">
      <c r="A273" s="7">
        <v>271</v>
      </c>
      <c r="B273" s="7" t="str">
        <f>"34542021111917205050967"</f>
        <v>34542021111917205050967</v>
      </c>
      <c r="C273" s="7" t="s">
        <v>15</v>
      </c>
      <c r="D273" s="7" t="str">
        <f>"洪杰英"</f>
        <v>洪杰英</v>
      </c>
      <c r="E273" s="7" t="str">
        <f t="shared" si="46"/>
        <v>男</v>
      </c>
      <c r="F273" s="7"/>
    </row>
    <row r="274" spans="1:6" ht="30" customHeight="1">
      <c r="A274" s="7">
        <v>272</v>
      </c>
      <c r="B274" s="7" t="str">
        <f>"34542021111918500650996"</f>
        <v>34542021111918500650996</v>
      </c>
      <c r="C274" s="7" t="s">
        <v>15</v>
      </c>
      <c r="D274" s="7" t="str">
        <f>"黄江玲"</f>
        <v>黄江玲</v>
      </c>
      <c r="E274" s="7" t="str">
        <f aca="true" t="shared" si="47" ref="E274:E277">"女"</f>
        <v>女</v>
      </c>
      <c r="F274" s="7"/>
    </row>
    <row r="275" spans="1:6" ht="30" customHeight="1">
      <c r="A275" s="7">
        <v>273</v>
      </c>
      <c r="B275" s="7" t="str">
        <f>"34542021111919384651024"</f>
        <v>34542021111919384651024</v>
      </c>
      <c r="C275" s="7" t="s">
        <v>15</v>
      </c>
      <c r="D275" s="7" t="str">
        <f>"陈赞博"</f>
        <v>陈赞博</v>
      </c>
      <c r="E275" s="7" t="str">
        <f>"男"</f>
        <v>男</v>
      </c>
      <c r="F275" s="7"/>
    </row>
    <row r="276" spans="1:6" ht="30" customHeight="1">
      <c r="A276" s="7">
        <v>274</v>
      </c>
      <c r="B276" s="7" t="str">
        <f>"34542021111921575051097"</f>
        <v>34542021111921575051097</v>
      </c>
      <c r="C276" s="7" t="s">
        <v>15</v>
      </c>
      <c r="D276" s="7" t="str">
        <f>"娄剑玲"</f>
        <v>娄剑玲</v>
      </c>
      <c r="E276" s="7" t="str">
        <f t="shared" si="47"/>
        <v>女</v>
      </c>
      <c r="F276" s="7"/>
    </row>
    <row r="277" spans="1:6" ht="30" customHeight="1">
      <c r="A277" s="7">
        <v>275</v>
      </c>
      <c r="B277" s="7" t="str">
        <f>"34542021111922003951099"</f>
        <v>34542021111922003951099</v>
      </c>
      <c r="C277" s="7" t="s">
        <v>15</v>
      </c>
      <c r="D277" s="7" t="str">
        <f>"王秀娟"</f>
        <v>王秀娟</v>
      </c>
      <c r="E277" s="7" t="str">
        <f t="shared" si="47"/>
        <v>女</v>
      </c>
      <c r="F277" s="7"/>
    </row>
    <row r="278" spans="1:6" ht="30" customHeight="1">
      <c r="A278" s="7">
        <v>276</v>
      </c>
      <c r="B278" s="7" t="str">
        <f>"34542021111923014851126"</f>
        <v>34542021111923014851126</v>
      </c>
      <c r="C278" s="7" t="s">
        <v>15</v>
      </c>
      <c r="D278" s="7" t="str">
        <f>"周振华"</f>
        <v>周振华</v>
      </c>
      <c r="E278" s="7" t="str">
        <f>"男"</f>
        <v>男</v>
      </c>
      <c r="F278" s="7"/>
    </row>
    <row r="279" spans="1:6" ht="30" customHeight="1">
      <c r="A279" s="7">
        <v>277</v>
      </c>
      <c r="B279" s="7" t="str">
        <f>"34542021112002241351146"</f>
        <v>34542021112002241351146</v>
      </c>
      <c r="C279" s="7" t="s">
        <v>15</v>
      </c>
      <c r="D279" s="7" t="str">
        <f>"王梅"</f>
        <v>王梅</v>
      </c>
      <c r="E279" s="7" t="str">
        <f aca="true" t="shared" si="48" ref="E279:E282">"女"</f>
        <v>女</v>
      </c>
      <c r="F279" s="7"/>
    </row>
    <row r="280" spans="1:6" ht="30" customHeight="1">
      <c r="A280" s="7">
        <v>278</v>
      </c>
      <c r="B280" s="7" t="str">
        <f>"34542021112009324351165"</f>
        <v>34542021112009324351165</v>
      </c>
      <c r="C280" s="7" t="s">
        <v>15</v>
      </c>
      <c r="D280" s="7" t="str">
        <f>"王鑫花"</f>
        <v>王鑫花</v>
      </c>
      <c r="E280" s="7" t="str">
        <f t="shared" si="48"/>
        <v>女</v>
      </c>
      <c r="F280" s="7"/>
    </row>
    <row r="281" spans="1:6" ht="30" customHeight="1">
      <c r="A281" s="7">
        <v>279</v>
      </c>
      <c r="B281" s="7" t="str">
        <f>"34542021112010404251197"</f>
        <v>34542021112010404251197</v>
      </c>
      <c r="C281" s="7" t="s">
        <v>15</v>
      </c>
      <c r="D281" s="7" t="str">
        <f>"蔡倩妹"</f>
        <v>蔡倩妹</v>
      </c>
      <c r="E281" s="7" t="str">
        <f t="shared" si="48"/>
        <v>女</v>
      </c>
      <c r="F281" s="7"/>
    </row>
    <row r="282" spans="1:6" ht="30" customHeight="1">
      <c r="A282" s="7">
        <v>280</v>
      </c>
      <c r="B282" s="7" t="str">
        <f>"34542021112013313451269"</f>
        <v>34542021112013313451269</v>
      </c>
      <c r="C282" s="7" t="s">
        <v>15</v>
      </c>
      <c r="D282" s="7" t="str">
        <f>"李国艳"</f>
        <v>李国艳</v>
      </c>
      <c r="E282" s="7" t="str">
        <f t="shared" si="48"/>
        <v>女</v>
      </c>
      <c r="F282" s="7"/>
    </row>
    <row r="283" spans="1:6" ht="30" customHeight="1">
      <c r="A283" s="7">
        <v>281</v>
      </c>
      <c r="B283" s="7" t="str">
        <f>"34542021112018300251357"</f>
        <v>34542021112018300251357</v>
      </c>
      <c r="C283" s="7" t="s">
        <v>15</v>
      </c>
      <c r="D283" s="7" t="str">
        <f>"薛之峥"</f>
        <v>薛之峥</v>
      </c>
      <c r="E283" s="7" t="str">
        <f>"男"</f>
        <v>男</v>
      </c>
      <c r="F283" s="7"/>
    </row>
    <row r="284" spans="1:6" ht="30" customHeight="1">
      <c r="A284" s="7">
        <v>282</v>
      </c>
      <c r="B284" s="7" t="str">
        <f>"34542021112018434451362"</f>
        <v>34542021112018434451362</v>
      </c>
      <c r="C284" s="7" t="s">
        <v>15</v>
      </c>
      <c r="D284" s="7" t="str">
        <f>"林莉莉"</f>
        <v>林莉莉</v>
      </c>
      <c r="E284" s="7" t="str">
        <f aca="true" t="shared" si="49" ref="E284:E291">"女"</f>
        <v>女</v>
      </c>
      <c r="F284" s="7"/>
    </row>
    <row r="285" spans="1:6" ht="30" customHeight="1">
      <c r="A285" s="7">
        <v>283</v>
      </c>
      <c r="B285" s="7" t="str">
        <f>"34542021112018472951364"</f>
        <v>34542021112018472951364</v>
      </c>
      <c r="C285" s="7" t="s">
        <v>15</v>
      </c>
      <c r="D285" s="7" t="str">
        <f>"麦嘉丽"</f>
        <v>麦嘉丽</v>
      </c>
      <c r="E285" s="7" t="str">
        <f t="shared" si="49"/>
        <v>女</v>
      </c>
      <c r="F285" s="7"/>
    </row>
    <row r="286" spans="1:6" ht="30" customHeight="1">
      <c r="A286" s="7">
        <v>284</v>
      </c>
      <c r="B286" s="7" t="str">
        <f>"34542021112020312951390"</f>
        <v>34542021112020312951390</v>
      </c>
      <c r="C286" s="7" t="s">
        <v>15</v>
      </c>
      <c r="D286" s="7" t="str">
        <f>"李玉小"</f>
        <v>李玉小</v>
      </c>
      <c r="E286" s="7" t="str">
        <f t="shared" si="49"/>
        <v>女</v>
      </c>
      <c r="F286" s="7"/>
    </row>
    <row r="287" spans="1:6" ht="30" customHeight="1">
      <c r="A287" s="7">
        <v>285</v>
      </c>
      <c r="B287" s="7" t="str">
        <f>"34542021112020423051392"</f>
        <v>34542021112020423051392</v>
      </c>
      <c r="C287" s="7" t="s">
        <v>15</v>
      </c>
      <c r="D287" s="7" t="str">
        <f>"羊晓颖"</f>
        <v>羊晓颖</v>
      </c>
      <c r="E287" s="7" t="str">
        <f t="shared" si="49"/>
        <v>女</v>
      </c>
      <c r="F287" s="7"/>
    </row>
    <row r="288" spans="1:6" ht="30" customHeight="1">
      <c r="A288" s="7">
        <v>286</v>
      </c>
      <c r="B288" s="7" t="str">
        <f>"34542021112022294151434"</f>
        <v>34542021112022294151434</v>
      </c>
      <c r="C288" s="7" t="s">
        <v>15</v>
      </c>
      <c r="D288" s="7" t="str">
        <f>"符雪贝"</f>
        <v>符雪贝</v>
      </c>
      <c r="E288" s="7" t="str">
        <f t="shared" si="49"/>
        <v>女</v>
      </c>
      <c r="F288" s="7"/>
    </row>
    <row r="289" spans="1:6" ht="30" customHeight="1">
      <c r="A289" s="7">
        <v>287</v>
      </c>
      <c r="B289" s="7" t="str">
        <f>"34542021112109572851483"</f>
        <v>34542021112109572851483</v>
      </c>
      <c r="C289" s="7" t="s">
        <v>15</v>
      </c>
      <c r="D289" s="7" t="str">
        <f>"钟斯琦"</f>
        <v>钟斯琦</v>
      </c>
      <c r="E289" s="7" t="str">
        <f t="shared" si="49"/>
        <v>女</v>
      </c>
      <c r="F289" s="7"/>
    </row>
    <row r="290" spans="1:6" ht="30" customHeight="1">
      <c r="A290" s="7">
        <v>288</v>
      </c>
      <c r="B290" s="7" t="str">
        <f>"34542021112110061351485"</f>
        <v>34542021112110061351485</v>
      </c>
      <c r="C290" s="7" t="s">
        <v>15</v>
      </c>
      <c r="D290" s="7" t="str">
        <f>"卢春美"</f>
        <v>卢春美</v>
      </c>
      <c r="E290" s="7" t="str">
        <f t="shared" si="49"/>
        <v>女</v>
      </c>
      <c r="F290" s="7"/>
    </row>
    <row r="291" spans="1:6" ht="30" customHeight="1">
      <c r="A291" s="7">
        <v>289</v>
      </c>
      <c r="B291" s="7" t="str">
        <f>"34542021112110424751498"</f>
        <v>34542021112110424751498</v>
      </c>
      <c r="C291" s="7" t="s">
        <v>15</v>
      </c>
      <c r="D291" s="7" t="str">
        <f>"徐雄姣"</f>
        <v>徐雄姣</v>
      </c>
      <c r="E291" s="7" t="str">
        <f t="shared" si="49"/>
        <v>女</v>
      </c>
      <c r="F291" s="7"/>
    </row>
    <row r="292" spans="1:6" ht="30" customHeight="1">
      <c r="A292" s="7">
        <v>290</v>
      </c>
      <c r="B292" s="7" t="str">
        <f>"34542021112111070851504"</f>
        <v>34542021112111070851504</v>
      </c>
      <c r="C292" s="7" t="s">
        <v>15</v>
      </c>
      <c r="D292" s="7" t="str">
        <f>"刘小泽"</f>
        <v>刘小泽</v>
      </c>
      <c r="E292" s="7" t="str">
        <f aca="true" t="shared" si="50" ref="E292:E295">"男"</f>
        <v>男</v>
      </c>
      <c r="F292" s="7"/>
    </row>
    <row r="293" spans="1:6" ht="30" customHeight="1">
      <c r="A293" s="7">
        <v>291</v>
      </c>
      <c r="B293" s="7" t="str">
        <f>"34542021112111531851517"</f>
        <v>34542021112111531851517</v>
      </c>
      <c r="C293" s="7" t="s">
        <v>15</v>
      </c>
      <c r="D293" s="7" t="str">
        <f>"邓梅花"</f>
        <v>邓梅花</v>
      </c>
      <c r="E293" s="7" t="str">
        <f aca="true" t="shared" si="51" ref="E293:E299">"女"</f>
        <v>女</v>
      </c>
      <c r="F293" s="7"/>
    </row>
    <row r="294" spans="1:6" ht="30" customHeight="1">
      <c r="A294" s="7">
        <v>292</v>
      </c>
      <c r="B294" s="7" t="str">
        <f>"34542021112114052751565"</f>
        <v>34542021112114052751565</v>
      </c>
      <c r="C294" s="7" t="s">
        <v>15</v>
      </c>
      <c r="D294" s="7" t="str">
        <f>"麦豪强"</f>
        <v>麦豪强</v>
      </c>
      <c r="E294" s="7" t="str">
        <f t="shared" si="50"/>
        <v>男</v>
      </c>
      <c r="F294" s="7"/>
    </row>
    <row r="295" spans="1:6" ht="30" customHeight="1">
      <c r="A295" s="7">
        <v>293</v>
      </c>
      <c r="B295" s="7" t="str">
        <f>"34542021112116091151593"</f>
        <v>34542021112116091151593</v>
      </c>
      <c r="C295" s="7" t="s">
        <v>15</v>
      </c>
      <c r="D295" s="7" t="str">
        <f>"莫琼彬"</f>
        <v>莫琼彬</v>
      </c>
      <c r="E295" s="7" t="str">
        <f t="shared" si="50"/>
        <v>男</v>
      </c>
      <c r="F295" s="7"/>
    </row>
    <row r="296" spans="1:6" ht="30" customHeight="1">
      <c r="A296" s="7">
        <v>294</v>
      </c>
      <c r="B296" s="7" t="str">
        <f>"34542021112117471651627"</f>
        <v>34542021112117471651627</v>
      </c>
      <c r="C296" s="7" t="s">
        <v>15</v>
      </c>
      <c r="D296" s="7" t="str">
        <f>"陈敏"</f>
        <v>陈敏</v>
      </c>
      <c r="E296" s="7" t="str">
        <f t="shared" si="51"/>
        <v>女</v>
      </c>
      <c r="F296" s="7"/>
    </row>
    <row r="297" spans="1:6" ht="30" customHeight="1">
      <c r="A297" s="7">
        <v>295</v>
      </c>
      <c r="B297" s="7" t="str">
        <f>"34542021112118555151648"</f>
        <v>34542021112118555151648</v>
      </c>
      <c r="C297" s="7" t="s">
        <v>15</v>
      </c>
      <c r="D297" s="7" t="str">
        <f>"丁坤练"</f>
        <v>丁坤练</v>
      </c>
      <c r="E297" s="7" t="str">
        <f t="shared" si="51"/>
        <v>女</v>
      </c>
      <c r="F297" s="7"/>
    </row>
    <row r="298" spans="1:6" ht="30" customHeight="1">
      <c r="A298" s="7">
        <v>296</v>
      </c>
      <c r="B298" s="7" t="str">
        <f>"34542021112119305251657"</f>
        <v>34542021112119305251657</v>
      </c>
      <c r="C298" s="7" t="s">
        <v>15</v>
      </c>
      <c r="D298" s="7" t="str">
        <f>"谢佳佳"</f>
        <v>谢佳佳</v>
      </c>
      <c r="E298" s="7" t="str">
        <f t="shared" si="51"/>
        <v>女</v>
      </c>
      <c r="F298" s="7"/>
    </row>
    <row r="299" spans="1:6" ht="30" customHeight="1">
      <c r="A299" s="7">
        <v>297</v>
      </c>
      <c r="B299" s="7" t="str">
        <f>"34542021112120341451672"</f>
        <v>34542021112120341451672</v>
      </c>
      <c r="C299" s="7" t="s">
        <v>15</v>
      </c>
      <c r="D299" s="7" t="str">
        <f>"黄位娇"</f>
        <v>黄位娇</v>
      </c>
      <c r="E299" s="7" t="str">
        <f t="shared" si="51"/>
        <v>女</v>
      </c>
      <c r="F299" s="7"/>
    </row>
    <row r="300" spans="1:6" ht="30" customHeight="1">
      <c r="A300" s="7">
        <v>298</v>
      </c>
      <c r="B300" s="7" t="str">
        <f>"34542021112122215651715"</f>
        <v>34542021112122215651715</v>
      </c>
      <c r="C300" s="7" t="s">
        <v>15</v>
      </c>
      <c r="D300" s="7" t="str">
        <f>"王国安"</f>
        <v>王国安</v>
      </c>
      <c r="E300" s="7" t="str">
        <f aca="true" t="shared" si="52" ref="E300:E303">"男"</f>
        <v>男</v>
      </c>
      <c r="F300" s="7"/>
    </row>
    <row r="301" spans="1:6" ht="30" customHeight="1">
      <c r="A301" s="7">
        <v>299</v>
      </c>
      <c r="B301" s="7" t="str">
        <f>"34542021112123170751725"</f>
        <v>34542021112123170751725</v>
      </c>
      <c r="C301" s="7" t="s">
        <v>15</v>
      </c>
      <c r="D301" s="7" t="str">
        <f>"潘琳正"</f>
        <v>潘琳正</v>
      </c>
      <c r="E301" s="7" t="str">
        <f t="shared" si="52"/>
        <v>男</v>
      </c>
      <c r="F301" s="7"/>
    </row>
    <row r="302" spans="1:6" ht="30" customHeight="1">
      <c r="A302" s="7">
        <v>300</v>
      </c>
      <c r="B302" s="7" t="str">
        <f>"34542021112208111351739"</f>
        <v>34542021112208111351739</v>
      </c>
      <c r="C302" s="7" t="s">
        <v>15</v>
      </c>
      <c r="D302" s="7" t="str">
        <f>"陈善勇"</f>
        <v>陈善勇</v>
      </c>
      <c r="E302" s="7" t="str">
        <f t="shared" si="52"/>
        <v>男</v>
      </c>
      <c r="F302" s="7"/>
    </row>
    <row r="303" spans="1:6" ht="30" customHeight="1">
      <c r="A303" s="7">
        <v>301</v>
      </c>
      <c r="B303" s="7" t="str">
        <f>"34542021112209114351766"</f>
        <v>34542021112209114351766</v>
      </c>
      <c r="C303" s="7" t="s">
        <v>15</v>
      </c>
      <c r="D303" s="7" t="str">
        <f>"黎万师"</f>
        <v>黎万师</v>
      </c>
      <c r="E303" s="7" t="str">
        <f t="shared" si="52"/>
        <v>男</v>
      </c>
      <c r="F303" s="7"/>
    </row>
    <row r="304" spans="1:6" ht="30" customHeight="1">
      <c r="A304" s="7">
        <v>302</v>
      </c>
      <c r="B304" s="7" t="str">
        <f>"34542021112209380951786"</f>
        <v>34542021112209380951786</v>
      </c>
      <c r="C304" s="7" t="s">
        <v>15</v>
      </c>
      <c r="D304" s="7" t="str">
        <f>"王钰莹"</f>
        <v>王钰莹</v>
      </c>
      <c r="E304" s="7" t="str">
        <f aca="true" t="shared" si="53" ref="E304:E306">"女"</f>
        <v>女</v>
      </c>
      <c r="F304" s="7"/>
    </row>
    <row r="305" spans="1:6" ht="30" customHeight="1">
      <c r="A305" s="7">
        <v>303</v>
      </c>
      <c r="B305" s="7" t="str">
        <f>"34542021112209384651787"</f>
        <v>34542021112209384651787</v>
      </c>
      <c r="C305" s="7" t="s">
        <v>15</v>
      </c>
      <c r="D305" s="7" t="str">
        <f>"陈春霞"</f>
        <v>陈春霞</v>
      </c>
      <c r="E305" s="7" t="str">
        <f t="shared" si="53"/>
        <v>女</v>
      </c>
      <c r="F305" s="7"/>
    </row>
    <row r="306" spans="1:6" ht="30" customHeight="1">
      <c r="A306" s="7">
        <v>304</v>
      </c>
      <c r="B306" s="7" t="str">
        <f>"34542021112209475151796"</f>
        <v>34542021112209475151796</v>
      </c>
      <c r="C306" s="7" t="s">
        <v>15</v>
      </c>
      <c r="D306" s="7" t="str">
        <f>"符碧娟"</f>
        <v>符碧娟</v>
      </c>
      <c r="E306" s="7" t="str">
        <f t="shared" si="53"/>
        <v>女</v>
      </c>
      <c r="F306" s="7"/>
    </row>
    <row r="307" spans="1:6" ht="30" customHeight="1">
      <c r="A307" s="7">
        <v>305</v>
      </c>
      <c r="B307" s="7" t="str">
        <f>"34542021112210181951823"</f>
        <v>34542021112210181951823</v>
      </c>
      <c r="C307" s="7" t="s">
        <v>15</v>
      </c>
      <c r="D307" s="7" t="str">
        <f>"钟植标"</f>
        <v>钟植标</v>
      </c>
      <c r="E307" s="7" t="str">
        <f aca="true" t="shared" si="54" ref="E307:E317">"男"</f>
        <v>男</v>
      </c>
      <c r="F307" s="7"/>
    </row>
    <row r="308" spans="1:6" ht="30" customHeight="1">
      <c r="A308" s="7">
        <v>306</v>
      </c>
      <c r="B308" s="7" t="str">
        <f>"34542021112210345251839"</f>
        <v>34542021112210345251839</v>
      </c>
      <c r="C308" s="7" t="s">
        <v>15</v>
      </c>
      <c r="D308" s="7" t="str">
        <f>"吴健宁"</f>
        <v>吴健宁</v>
      </c>
      <c r="E308" s="7" t="str">
        <f t="shared" si="54"/>
        <v>男</v>
      </c>
      <c r="F308" s="7"/>
    </row>
    <row r="309" spans="1:6" ht="30" customHeight="1">
      <c r="A309" s="7">
        <v>307</v>
      </c>
      <c r="B309" s="7" t="str">
        <f>"34542021112210422851848"</f>
        <v>34542021112210422851848</v>
      </c>
      <c r="C309" s="7" t="s">
        <v>15</v>
      </c>
      <c r="D309" s="7" t="str">
        <f>"李成芳"</f>
        <v>李成芳</v>
      </c>
      <c r="E309" s="7" t="str">
        <f t="shared" si="54"/>
        <v>男</v>
      </c>
      <c r="F309" s="7"/>
    </row>
    <row r="310" spans="1:6" ht="30" customHeight="1">
      <c r="A310" s="7">
        <v>308</v>
      </c>
      <c r="B310" s="7" t="str">
        <f>"34542021112210470351854"</f>
        <v>34542021112210470351854</v>
      </c>
      <c r="C310" s="7" t="s">
        <v>15</v>
      </c>
      <c r="D310" s="7" t="str">
        <f>"张熙松"</f>
        <v>张熙松</v>
      </c>
      <c r="E310" s="7" t="str">
        <f t="shared" si="54"/>
        <v>男</v>
      </c>
      <c r="F310" s="7"/>
    </row>
    <row r="311" spans="1:6" ht="30" customHeight="1">
      <c r="A311" s="7">
        <v>309</v>
      </c>
      <c r="B311" s="7" t="str">
        <f>"34542021112210581251858"</f>
        <v>34542021112210581251858</v>
      </c>
      <c r="C311" s="7" t="s">
        <v>15</v>
      </c>
      <c r="D311" s="7" t="str">
        <f>"黎隆茂"</f>
        <v>黎隆茂</v>
      </c>
      <c r="E311" s="7" t="str">
        <f t="shared" si="54"/>
        <v>男</v>
      </c>
      <c r="F311" s="7"/>
    </row>
    <row r="312" spans="1:6" ht="30" customHeight="1">
      <c r="A312" s="7">
        <v>310</v>
      </c>
      <c r="B312" s="7" t="str">
        <f>"34542021112211230051868"</f>
        <v>34542021112211230051868</v>
      </c>
      <c r="C312" s="7" t="s">
        <v>15</v>
      </c>
      <c r="D312" s="7" t="str">
        <f>"王梓轩"</f>
        <v>王梓轩</v>
      </c>
      <c r="E312" s="7" t="str">
        <f t="shared" si="54"/>
        <v>男</v>
      </c>
      <c r="F312" s="7"/>
    </row>
    <row r="313" spans="1:6" ht="30" customHeight="1">
      <c r="A313" s="7">
        <v>311</v>
      </c>
      <c r="B313" s="7" t="str">
        <f>"34542021112211351751873"</f>
        <v>34542021112211351751873</v>
      </c>
      <c r="C313" s="7" t="s">
        <v>15</v>
      </c>
      <c r="D313" s="7" t="str">
        <f>"朱树华"</f>
        <v>朱树华</v>
      </c>
      <c r="E313" s="7" t="str">
        <f t="shared" si="54"/>
        <v>男</v>
      </c>
      <c r="F313" s="7"/>
    </row>
    <row r="314" spans="1:6" ht="30" customHeight="1">
      <c r="A314" s="7">
        <v>312</v>
      </c>
      <c r="B314" s="7" t="str">
        <f>"34542021112212375651904"</f>
        <v>34542021112212375651904</v>
      </c>
      <c r="C314" s="7" t="s">
        <v>15</v>
      </c>
      <c r="D314" s="7" t="str">
        <f>"黎焕堂"</f>
        <v>黎焕堂</v>
      </c>
      <c r="E314" s="7" t="str">
        <f t="shared" si="54"/>
        <v>男</v>
      </c>
      <c r="F314" s="7"/>
    </row>
    <row r="315" spans="1:6" ht="30" customHeight="1">
      <c r="A315" s="7">
        <v>313</v>
      </c>
      <c r="B315" s="7" t="str">
        <f>"34542021112215173751959"</f>
        <v>34542021112215173751959</v>
      </c>
      <c r="C315" s="7" t="s">
        <v>15</v>
      </c>
      <c r="D315" s="7" t="str">
        <f>"阮荣斌"</f>
        <v>阮荣斌</v>
      </c>
      <c r="E315" s="7" t="str">
        <f t="shared" si="54"/>
        <v>男</v>
      </c>
      <c r="F315" s="7"/>
    </row>
    <row r="316" spans="1:6" ht="30" customHeight="1">
      <c r="A316" s="7">
        <v>314</v>
      </c>
      <c r="B316" s="7" t="str">
        <f>"34542021112215330351973"</f>
        <v>34542021112215330351973</v>
      </c>
      <c r="C316" s="7" t="s">
        <v>15</v>
      </c>
      <c r="D316" s="7" t="str">
        <f>"谢堂茂"</f>
        <v>谢堂茂</v>
      </c>
      <c r="E316" s="7" t="str">
        <f t="shared" si="54"/>
        <v>男</v>
      </c>
      <c r="F316" s="7"/>
    </row>
    <row r="317" spans="1:6" ht="30" customHeight="1">
      <c r="A317" s="7">
        <v>315</v>
      </c>
      <c r="B317" s="7" t="str">
        <f>"34542021112215505451986"</f>
        <v>34542021112215505451986</v>
      </c>
      <c r="C317" s="7" t="s">
        <v>15</v>
      </c>
      <c r="D317" s="7" t="str">
        <f>"孙学新"</f>
        <v>孙学新</v>
      </c>
      <c r="E317" s="7" t="str">
        <f t="shared" si="54"/>
        <v>男</v>
      </c>
      <c r="F317" s="7"/>
    </row>
    <row r="318" spans="1:6" ht="30" customHeight="1">
      <c r="A318" s="7">
        <v>316</v>
      </c>
      <c r="B318" s="7" t="str">
        <f>"34542021112216120651999"</f>
        <v>34542021112216120651999</v>
      </c>
      <c r="C318" s="7" t="s">
        <v>15</v>
      </c>
      <c r="D318" s="7" t="str">
        <f>"王爱霞"</f>
        <v>王爱霞</v>
      </c>
      <c r="E318" s="7" t="str">
        <f aca="true" t="shared" si="55" ref="E318:E320">"女"</f>
        <v>女</v>
      </c>
      <c r="F318" s="7"/>
    </row>
    <row r="319" spans="1:6" ht="30" customHeight="1">
      <c r="A319" s="7">
        <v>317</v>
      </c>
      <c r="B319" s="7" t="str">
        <f>"34542021112216241652010"</f>
        <v>34542021112216241652010</v>
      </c>
      <c r="C319" s="7" t="s">
        <v>15</v>
      </c>
      <c r="D319" s="7" t="str">
        <f>"吴丽珍"</f>
        <v>吴丽珍</v>
      </c>
      <c r="E319" s="7" t="str">
        <f t="shared" si="55"/>
        <v>女</v>
      </c>
      <c r="F319" s="7"/>
    </row>
    <row r="320" spans="1:6" ht="30" customHeight="1">
      <c r="A320" s="7">
        <v>318</v>
      </c>
      <c r="B320" s="7" t="str">
        <f>"34542021112216344152017"</f>
        <v>34542021112216344152017</v>
      </c>
      <c r="C320" s="7" t="s">
        <v>15</v>
      </c>
      <c r="D320" s="7" t="str">
        <f>"梁予"</f>
        <v>梁予</v>
      </c>
      <c r="E320" s="7" t="str">
        <f t="shared" si="55"/>
        <v>女</v>
      </c>
      <c r="F320" s="7"/>
    </row>
    <row r="321" spans="1:6" ht="30" customHeight="1">
      <c r="A321" s="7">
        <v>319</v>
      </c>
      <c r="B321" s="7" t="str">
        <f>"34542021112217591552061"</f>
        <v>34542021112217591552061</v>
      </c>
      <c r="C321" s="7" t="s">
        <v>15</v>
      </c>
      <c r="D321" s="7" t="str">
        <f>"黄方裕"</f>
        <v>黄方裕</v>
      </c>
      <c r="E321" s="7" t="str">
        <f>"男"</f>
        <v>男</v>
      </c>
      <c r="F321" s="7"/>
    </row>
    <row r="322" spans="1:6" ht="30" customHeight="1">
      <c r="A322" s="7">
        <v>320</v>
      </c>
      <c r="B322" s="7" t="str">
        <f>"34542021112219160252084"</f>
        <v>34542021112219160252084</v>
      </c>
      <c r="C322" s="7" t="s">
        <v>15</v>
      </c>
      <c r="D322" s="7" t="str">
        <f>"黄志鸿"</f>
        <v>黄志鸿</v>
      </c>
      <c r="E322" s="7" t="str">
        <f>"男"</f>
        <v>男</v>
      </c>
      <c r="F322" s="7"/>
    </row>
    <row r="323" spans="1:6" ht="30" customHeight="1">
      <c r="A323" s="7">
        <v>321</v>
      </c>
      <c r="B323" s="7" t="str">
        <f>"34542021112219224552088"</f>
        <v>34542021112219224552088</v>
      </c>
      <c r="C323" s="7" t="s">
        <v>15</v>
      </c>
      <c r="D323" s="7" t="str">
        <f>"韩丹丹"</f>
        <v>韩丹丹</v>
      </c>
      <c r="E323" s="7" t="str">
        <f aca="true" t="shared" si="56" ref="E323:E329">"女"</f>
        <v>女</v>
      </c>
      <c r="F323" s="7"/>
    </row>
    <row r="324" spans="1:6" ht="30" customHeight="1">
      <c r="A324" s="7">
        <v>322</v>
      </c>
      <c r="B324" s="7" t="str">
        <f>"34542021112219245852089"</f>
        <v>34542021112219245852089</v>
      </c>
      <c r="C324" s="7" t="s">
        <v>15</v>
      </c>
      <c r="D324" s="7" t="str">
        <f>"龙妍妍"</f>
        <v>龙妍妍</v>
      </c>
      <c r="E324" s="7" t="str">
        <f t="shared" si="56"/>
        <v>女</v>
      </c>
      <c r="F324" s="7"/>
    </row>
    <row r="325" spans="1:6" ht="30" customHeight="1">
      <c r="A325" s="7">
        <v>323</v>
      </c>
      <c r="B325" s="7" t="str">
        <f>"34542021112220434752114"</f>
        <v>34542021112220434752114</v>
      </c>
      <c r="C325" s="7" t="s">
        <v>15</v>
      </c>
      <c r="D325" s="7" t="str">
        <f>"吴瑛琪"</f>
        <v>吴瑛琪</v>
      </c>
      <c r="E325" s="7" t="str">
        <f t="shared" si="56"/>
        <v>女</v>
      </c>
      <c r="F325" s="7"/>
    </row>
    <row r="326" spans="1:6" ht="30" customHeight="1">
      <c r="A326" s="7">
        <v>324</v>
      </c>
      <c r="B326" s="7" t="str">
        <f>"34542021112221175952127"</f>
        <v>34542021112221175952127</v>
      </c>
      <c r="C326" s="7" t="s">
        <v>15</v>
      </c>
      <c r="D326" s="7" t="str">
        <f>"陈淑铃"</f>
        <v>陈淑铃</v>
      </c>
      <c r="E326" s="7" t="str">
        <f t="shared" si="56"/>
        <v>女</v>
      </c>
      <c r="F326" s="7"/>
    </row>
    <row r="327" spans="1:6" ht="30" customHeight="1">
      <c r="A327" s="7">
        <v>325</v>
      </c>
      <c r="B327" s="7" t="str">
        <f>"34542021112221280552133"</f>
        <v>34542021112221280552133</v>
      </c>
      <c r="C327" s="7" t="s">
        <v>15</v>
      </c>
      <c r="D327" s="7" t="str">
        <f>"何桂珍"</f>
        <v>何桂珍</v>
      </c>
      <c r="E327" s="7" t="str">
        <f t="shared" si="56"/>
        <v>女</v>
      </c>
      <c r="F327" s="7"/>
    </row>
    <row r="328" spans="1:6" ht="30" customHeight="1">
      <c r="A328" s="7">
        <v>326</v>
      </c>
      <c r="B328" s="7" t="str">
        <f>"34542021112221445252143"</f>
        <v>34542021112221445252143</v>
      </c>
      <c r="C328" s="7" t="s">
        <v>15</v>
      </c>
      <c r="D328" s="7" t="str">
        <f>"林珍"</f>
        <v>林珍</v>
      </c>
      <c r="E328" s="7" t="str">
        <f t="shared" si="56"/>
        <v>女</v>
      </c>
      <c r="F328" s="7"/>
    </row>
    <row r="329" spans="1:6" ht="30" customHeight="1">
      <c r="A329" s="7">
        <v>327</v>
      </c>
      <c r="B329" s="7" t="str">
        <f>"34542021112222010452150"</f>
        <v>34542021112222010452150</v>
      </c>
      <c r="C329" s="7" t="s">
        <v>15</v>
      </c>
      <c r="D329" s="7" t="str">
        <f>"符宠祝"</f>
        <v>符宠祝</v>
      </c>
      <c r="E329" s="7" t="str">
        <f t="shared" si="56"/>
        <v>女</v>
      </c>
      <c r="F329" s="7"/>
    </row>
    <row r="330" spans="1:6" ht="30" customHeight="1">
      <c r="A330" s="7">
        <v>328</v>
      </c>
      <c r="B330" s="7" t="str">
        <f>"34542021112308054652191"</f>
        <v>34542021112308054652191</v>
      </c>
      <c r="C330" s="7" t="s">
        <v>15</v>
      </c>
      <c r="D330" s="7" t="str">
        <f>"蔡於旺"</f>
        <v>蔡於旺</v>
      </c>
      <c r="E330" s="7" t="str">
        <f aca="true" t="shared" si="57" ref="E330:E334">"男"</f>
        <v>男</v>
      </c>
      <c r="F330" s="7"/>
    </row>
    <row r="331" spans="1:6" ht="30" customHeight="1">
      <c r="A331" s="7">
        <v>329</v>
      </c>
      <c r="B331" s="7" t="str">
        <f>"34542021112308565052199"</f>
        <v>34542021112308565052199</v>
      </c>
      <c r="C331" s="7" t="s">
        <v>15</v>
      </c>
      <c r="D331" s="7" t="str">
        <f>"郑一梅"</f>
        <v>郑一梅</v>
      </c>
      <c r="E331" s="7" t="str">
        <f aca="true" t="shared" si="58" ref="E331:E335">"女"</f>
        <v>女</v>
      </c>
      <c r="F331" s="7"/>
    </row>
    <row r="332" spans="1:6" ht="30" customHeight="1">
      <c r="A332" s="7">
        <v>330</v>
      </c>
      <c r="B332" s="7" t="str">
        <f>"34542021112309244752209"</f>
        <v>34542021112309244752209</v>
      </c>
      <c r="C332" s="7" t="s">
        <v>15</v>
      </c>
      <c r="D332" s="7" t="str">
        <f>"余佳佳"</f>
        <v>余佳佳</v>
      </c>
      <c r="E332" s="7" t="str">
        <f t="shared" si="58"/>
        <v>女</v>
      </c>
      <c r="F332" s="7"/>
    </row>
    <row r="333" spans="1:6" ht="30" customHeight="1">
      <c r="A333" s="7">
        <v>331</v>
      </c>
      <c r="B333" s="7" t="str">
        <f>"34542021112309473352219"</f>
        <v>34542021112309473352219</v>
      </c>
      <c r="C333" s="7" t="s">
        <v>15</v>
      </c>
      <c r="D333" s="7" t="str">
        <f>"陈纪炎"</f>
        <v>陈纪炎</v>
      </c>
      <c r="E333" s="7" t="str">
        <f t="shared" si="57"/>
        <v>男</v>
      </c>
      <c r="F333" s="7"/>
    </row>
    <row r="334" spans="1:6" ht="30" customHeight="1">
      <c r="A334" s="7">
        <v>332</v>
      </c>
      <c r="B334" s="7" t="str">
        <f>"34542021112310443652244"</f>
        <v>34542021112310443652244</v>
      </c>
      <c r="C334" s="7" t="s">
        <v>15</v>
      </c>
      <c r="D334" s="7" t="str">
        <f>"曾焕琅"</f>
        <v>曾焕琅</v>
      </c>
      <c r="E334" s="7" t="str">
        <f t="shared" si="57"/>
        <v>男</v>
      </c>
      <c r="F334" s="7"/>
    </row>
    <row r="335" spans="1:6" ht="30" customHeight="1">
      <c r="A335" s="7">
        <v>333</v>
      </c>
      <c r="B335" s="7" t="str">
        <f>"34542021112311192352255"</f>
        <v>34542021112311192352255</v>
      </c>
      <c r="C335" s="7" t="s">
        <v>15</v>
      </c>
      <c r="D335" s="7" t="str">
        <f>"符蓉"</f>
        <v>符蓉</v>
      </c>
      <c r="E335" s="7" t="str">
        <f t="shared" si="58"/>
        <v>女</v>
      </c>
      <c r="F335" s="7"/>
    </row>
    <row r="336" spans="1:6" ht="30" customHeight="1">
      <c r="A336" s="7">
        <v>334</v>
      </c>
      <c r="B336" s="7" t="str">
        <f>"34542021112311210652257"</f>
        <v>34542021112311210652257</v>
      </c>
      <c r="C336" s="7" t="s">
        <v>15</v>
      </c>
      <c r="D336" s="7" t="str">
        <f>"陈运贤"</f>
        <v>陈运贤</v>
      </c>
      <c r="E336" s="7" t="str">
        <f>"男"</f>
        <v>男</v>
      </c>
      <c r="F336" s="7"/>
    </row>
    <row r="337" spans="1:6" ht="30" customHeight="1">
      <c r="A337" s="7">
        <v>335</v>
      </c>
      <c r="B337" s="7" t="str">
        <f>"34542021112311245052259"</f>
        <v>34542021112311245052259</v>
      </c>
      <c r="C337" s="7" t="s">
        <v>15</v>
      </c>
      <c r="D337" s="7" t="str">
        <f>"高孙彬"</f>
        <v>高孙彬</v>
      </c>
      <c r="E337" s="7" t="str">
        <f>"男"</f>
        <v>男</v>
      </c>
      <c r="F337" s="7"/>
    </row>
    <row r="338" spans="1:6" ht="30" customHeight="1">
      <c r="A338" s="7">
        <v>336</v>
      </c>
      <c r="B338" s="7" t="str">
        <f>"34542021112311274552263"</f>
        <v>34542021112311274552263</v>
      </c>
      <c r="C338" s="7" t="s">
        <v>15</v>
      </c>
      <c r="D338" s="7" t="str">
        <f>"郑玲玲"</f>
        <v>郑玲玲</v>
      </c>
      <c r="E338" s="7" t="str">
        <f aca="true" t="shared" si="59" ref="E338:E341">"女"</f>
        <v>女</v>
      </c>
      <c r="F338" s="7"/>
    </row>
    <row r="339" spans="1:6" ht="30" customHeight="1">
      <c r="A339" s="7">
        <v>337</v>
      </c>
      <c r="B339" s="7" t="str">
        <f>"34542021112311464252272"</f>
        <v>34542021112311464252272</v>
      </c>
      <c r="C339" s="7" t="s">
        <v>15</v>
      </c>
      <c r="D339" s="7" t="str">
        <f>"谢莉梅"</f>
        <v>谢莉梅</v>
      </c>
      <c r="E339" s="7" t="str">
        <f t="shared" si="59"/>
        <v>女</v>
      </c>
      <c r="F339" s="7"/>
    </row>
    <row r="340" spans="1:6" ht="30" customHeight="1">
      <c r="A340" s="7">
        <v>338</v>
      </c>
      <c r="B340" s="7" t="str">
        <f>"34542021112312183052284"</f>
        <v>34542021112312183052284</v>
      </c>
      <c r="C340" s="7" t="s">
        <v>15</v>
      </c>
      <c r="D340" s="7" t="str">
        <f>"吉秋妍"</f>
        <v>吉秋妍</v>
      </c>
      <c r="E340" s="7" t="str">
        <f t="shared" si="59"/>
        <v>女</v>
      </c>
      <c r="F340" s="7"/>
    </row>
    <row r="341" spans="1:6" ht="30" customHeight="1">
      <c r="A341" s="7">
        <v>339</v>
      </c>
      <c r="B341" s="7" t="str">
        <f>"34542021112312191952285"</f>
        <v>34542021112312191952285</v>
      </c>
      <c r="C341" s="7" t="s">
        <v>15</v>
      </c>
      <c r="D341" s="7" t="str">
        <f>"邱娟燕"</f>
        <v>邱娟燕</v>
      </c>
      <c r="E341" s="7" t="str">
        <f t="shared" si="59"/>
        <v>女</v>
      </c>
      <c r="F341" s="7"/>
    </row>
    <row r="342" spans="1:6" ht="30" customHeight="1">
      <c r="A342" s="7">
        <v>340</v>
      </c>
      <c r="B342" s="7" t="str">
        <f>"34542021112313035652301"</f>
        <v>34542021112313035652301</v>
      </c>
      <c r="C342" s="7" t="s">
        <v>15</v>
      </c>
      <c r="D342" s="7" t="str">
        <f>"林才贤"</f>
        <v>林才贤</v>
      </c>
      <c r="E342" s="7" t="str">
        <f>"男"</f>
        <v>男</v>
      </c>
      <c r="F342" s="7"/>
    </row>
    <row r="343" spans="1:6" ht="30" customHeight="1">
      <c r="A343" s="7">
        <v>341</v>
      </c>
      <c r="B343" s="7" t="str">
        <f>"34542021112314040752320"</f>
        <v>34542021112314040752320</v>
      </c>
      <c r="C343" s="7" t="s">
        <v>15</v>
      </c>
      <c r="D343" s="7" t="str">
        <f>"赵日妮"</f>
        <v>赵日妮</v>
      </c>
      <c r="E343" s="7" t="str">
        <f aca="true" t="shared" si="60" ref="E343:E346">"女"</f>
        <v>女</v>
      </c>
      <c r="F343" s="7"/>
    </row>
    <row r="344" spans="1:6" ht="30" customHeight="1">
      <c r="A344" s="7">
        <v>342</v>
      </c>
      <c r="B344" s="7" t="str">
        <f>"34542021112314071652321"</f>
        <v>34542021112314071652321</v>
      </c>
      <c r="C344" s="7" t="s">
        <v>15</v>
      </c>
      <c r="D344" s="7" t="str">
        <f>"符延芬"</f>
        <v>符延芬</v>
      </c>
      <c r="E344" s="7" t="str">
        <f t="shared" si="60"/>
        <v>女</v>
      </c>
      <c r="F344" s="7"/>
    </row>
    <row r="345" spans="1:6" ht="30" customHeight="1">
      <c r="A345" s="7">
        <v>343</v>
      </c>
      <c r="B345" s="7" t="str">
        <f>"34542021112315204452341"</f>
        <v>34542021112315204452341</v>
      </c>
      <c r="C345" s="7" t="s">
        <v>15</v>
      </c>
      <c r="D345" s="7" t="str">
        <f>"黎夏彩"</f>
        <v>黎夏彩</v>
      </c>
      <c r="E345" s="7" t="str">
        <f t="shared" si="60"/>
        <v>女</v>
      </c>
      <c r="F345" s="7"/>
    </row>
    <row r="346" spans="1:6" ht="30" customHeight="1">
      <c r="A346" s="7">
        <v>344</v>
      </c>
      <c r="B346" s="7" t="str">
        <f>"34542021112315324952348"</f>
        <v>34542021112315324952348</v>
      </c>
      <c r="C346" s="7" t="s">
        <v>15</v>
      </c>
      <c r="D346" s="7" t="str">
        <f>"郑引兰"</f>
        <v>郑引兰</v>
      </c>
      <c r="E346" s="7" t="str">
        <f t="shared" si="60"/>
        <v>女</v>
      </c>
      <c r="F346" s="7"/>
    </row>
    <row r="347" spans="1:6" ht="30" customHeight="1">
      <c r="A347" s="7">
        <v>345</v>
      </c>
      <c r="B347" s="7" t="str">
        <f>"34542021112316010652363"</f>
        <v>34542021112316010652363</v>
      </c>
      <c r="C347" s="7" t="s">
        <v>15</v>
      </c>
      <c r="D347" s="7" t="str">
        <f>"曾天秤"</f>
        <v>曾天秤</v>
      </c>
      <c r="E347" s="7" t="str">
        <f aca="true" t="shared" si="61" ref="E347:E354">"男"</f>
        <v>男</v>
      </c>
      <c r="F347" s="7"/>
    </row>
    <row r="348" spans="1:6" ht="30" customHeight="1">
      <c r="A348" s="7">
        <v>346</v>
      </c>
      <c r="B348" s="7" t="str">
        <f>"34542021112316100952368"</f>
        <v>34542021112316100952368</v>
      </c>
      <c r="C348" s="7" t="s">
        <v>15</v>
      </c>
      <c r="D348" s="7" t="str">
        <f>"李远安"</f>
        <v>李远安</v>
      </c>
      <c r="E348" s="7" t="str">
        <f t="shared" si="61"/>
        <v>男</v>
      </c>
      <c r="F348" s="7"/>
    </row>
    <row r="349" spans="1:6" ht="30" customHeight="1">
      <c r="A349" s="7">
        <v>347</v>
      </c>
      <c r="B349" s="7" t="str">
        <f>"34542021112316105752370"</f>
        <v>34542021112316105752370</v>
      </c>
      <c r="C349" s="7" t="s">
        <v>15</v>
      </c>
      <c r="D349" s="7" t="str">
        <f>"余冰月"</f>
        <v>余冰月</v>
      </c>
      <c r="E349" s="7" t="str">
        <f aca="true" t="shared" si="62" ref="E349:E351">"女"</f>
        <v>女</v>
      </c>
      <c r="F349" s="7"/>
    </row>
    <row r="350" spans="1:6" ht="30" customHeight="1">
      <c r="A350" s="7">
        <v>348</v>
      </c>
      <c r="B350" s="7" t="str">
        <f>"34542021112316140652373"</f>
        <v>34542021112316140652373</v>
      </c>
      <c r="C350" s="7" t="s">
        <v>15</v>
      </c>
      <c r="D350" s="7" t="str">
        <f>"周亚婷"</f>
        <v>周亚婷</v>
      </c>
      <c r="E350" s="7" t="str">
        <f t="shared" si="62"/>
        <v>女</v>
      </c>
      <c r="F350" s="7"/>
    </row>
    <row r="351" spans="1:6" ht="30" customHeight="1">
      <c r="A351" s="7">
        <v>349</v>
      </c>
      <c r="B351" s="7" t="str">
        <f>"34542021112317394052411"</f>
        <v>34542021112317394052411</v>
      </c>
      <c r="C351" s="7" t="s">
        <v>15</v>
      </c>
      <c r="D351" s="7" t="str">
        <f>"吴兴美"</f>
        <v>吴兴美</v>
      </c>
      <c r="E351" s="7" t="str">
        <f t="shared" si="62"/>
        <v>女</v>
      </c>
      <c r="F351" s="7"/>
    </row>
    <row r="352" spans="1:6" ht="30" customHeight="1">
      <c r="A352" s="7">
        <v>350</v>
      </c>
      <c r="B352" s="7" t="str">
        <f>"34542021112317581552418"</f>
        <v>34542021112317581552418</v>
      </c>
      <c r="C352" s="7" t="s">
        <v>15</v>
      </c>
      <c r="D352" s="7" t="str">
        <f>"石正儒"</f>
        <v>石正儒</v>
      </c>
      <c r="E352" s="7" t="str">
        <f t="shared" si="61"/>
        <v>男</v>
      </c>
      <c r="F352" s="7"/>
    </row>
    <row r="353" spans="1:6" ht="30" customHeight="1">
      <c r="A353" s="7">
        <v>351</v>
      </c>
      <c r="B353" s="7" t="str">
        <f>"34542021112321172152493"</f>
        <v>34542021112321172152493</v>
      </c>
      <c r="C353" s="7" t="s">
        <v>15</v>
      </c>
      <c r="D353" s="7" t="str">
        <f>"王博"</f>
        <v>王博</v>
      </c>
      <c r="E353" s="7" t="str">
        <f t="shared" si="61"/>
        <v>男</v>
      </c>
      <c r="F353" s="7"/>
    </row>
    <row r="354" spans="1:6" ht="30" customHeight="1">
      <c r="A354" s="7">
        <v>352</v>
      </c>
      <c r="B354" s="7" t="str">
        <f>"34542021112400032152532"</f>
        <v>34542021112400032152532</v>
      </c>
      <c r="C354" s="7" t="s">
        <v>15</v>
      </c>
      <c r="D354" s="7" t="str">
        <f>"何万常"</f>
        <v>何万常</v>
      </c>
      <c r="E354" s="7" t="str">
        <f t="shared" si="61"/>
        <v>男</v>
      </c>
      <c r="F354" s="7"/>
    </row>
    <row r="355" spans="1:6" ht="30" customHeight="1">
      <c r="A355" s="7">
        <v>353</v>
      </c>
      <c r="B355" s="7" t="str">
        <f>"34542021112407570752541"</f>
        <v>34542021112407570752541</v>
      </c>
      <c r="C355" s="7" t="s">
        <v>15</v>
      </c>
      <c r="D355" s="7" t="str">
        <f>"文小静"</f>
        <v>文小静</v>
      </c>
      <c r="E355" s="7" t="str">
        <f aca="true" t="shared" si="63" ref="E355:E361">"女"</f>
        <v>女</v>
      </c>
      <c r="F355" s="7"/>
    </row>
    <row r="356" spans="1:6" ht="30" customHeight="1">
      <c r="A356" s="7">
        <v>354</v>
      </c>
      <c r="B356" s="7" t="str">
        <f>"34542021112408414552549"</f>
        <v>34542021112408414552549</v>
      </c>
      <c r="C356" s="7" t="s">
        <v>15</v>
      </c>
      <c r="D356" s="7" t="str">
        <f>"林秀禹"</f>
        <v>林秀禹</v>
      </c>
      <c r="E356" s="7" t="str">
        <f t="shared" si="63"/>
        <v>女</v>
      </c>
      <c r="F356" s="7"/>
    </row>
    <row r="357" spans="1:6" ht="30" customHeight="1">
      <c r="A357" s="7">
        <v>355</v>
      </c>
      <c r="B357" s="7" t="str">
        <f>"34542021112408543452555"</f>
        <v>34542021112408543452555</v>
      </c>
      <c r="C357" s="7" t="s">
        <v>15</v>
      </c>
      <c r="D357" s="7" t="str">
        <f>"陈威霖"</f>
        <v>陈威霖</v>
      </c>
      <c r="E357" s="7" t="str">
        <f aca="true" t="shared" si="64" ref="E357:E362">"男"</f>
        <v>男</v>
      </c>
      <c r="F357" s="7"/>
    </row>
    <row r="358" spans="1:6" ht="30" customHeight="1">
      <c r="A358" s="7">
        <v>356</v>
      </c>
      <c r="B358" s="7" t="str">
        <f>"34542021112409015252558"</f>
        <v>34542021112409015252558</v>
      </c>
      <c r="C358" s="7" t="s">
        <v>15</v>
      </c>
      <c r="D358" s="7" t="str">
        <f>"汤盛"</f>
        <v>汤盛</v>
      </c>
      <c r="E358" s="7" t="str">
        <f t="shared" si="64"/>
        <v>男</v>
      </c>
      <c r="F358" s="7"/>
    </row>
    <row r="359" spans="1:6" ht="30" customHeight="1">
      <c r="A359" s="7">
        <v>357</v>
      </c>
      <c r="B359" s="7" t="str">
        <f>"34542021112409551252572"</f>
        <v>34542021112409551252572</v>
      </c>
      <c r="C359" s="7" t="s">
        <v>15</v>
      </c>
      <c r="D359" s="7" t="str">
        <f>"黎万霞"</f>
        <v>黎万霞</v>
      </c>
      <c r="E359" s="7" t="str">
        <f t="shared" si="63"/>
        <v>女</v>
      </c>
      <c r="F359" s="7"/>
    </row>
    <row r="360" spans="1:6" ht="30" customHeight="1">
      <c r="A360" s="7">
        <v>358</v>
      </c>
      <c r="B360" s="7" t="str">
        <f>"34542021112410005452576"</f>
        <v>34542021112410005452576</v>
      </c>
      <c r="C360" s="7" t="s">
        <v>15</v>
      </c>
      <c r="D360" s="7" t="str">
        <f>"谢瑞鸾"</f>
        <v>谢瑞鸾</v>
      </c>
      <c r="E360" s="7" t="str">
        <f t="shared" si="63"/>
        <v>女</v>
      </c>
      <c r="F360" s="7"/>
    </row>
    <row r="361" spans="1:6" ht="30" customHeight="1">
      <c r="A361" s="7">
        <v>359</v>
      </c>
      <c r="B361" s="7" t="str">
        <f>"34542021112410315552590"</f>
        <v>34542021112410315552590</v>
      </c>
      <c r="C361" s="7" t="s">
        <v>15</v>
      </c>
      <c r="D361" s="7" t="str">
        <f>"吴艳皎"</f>
        <v>吴艳皎</v>
      </c>
      <c r="E361" s="7" t="str">
        <f t="shared" si="63"/>
        <v>女</v>
      </c>
      <c r="F361" s="7"/>
    </row>
    <row r="362" spans="1:6" ht="30" customHeight="1">
      <c r="A362" s="7">
        <v>360</v>
      </c>
      <c r="B362" s="7" t="str">
        <f>"34542021112410494652603"</f>
        <v>34542021112410494652603</v>
      </c>
      <c r="C362" s="7" t="s">
        <v>15</v>
      </c>
      <c r="D362" s="7" t="str">
        <f>"林如德"</f>
        <v>林如德</v>
      </c>
      <c r="E362" s="7" t="str">
        <f t="shared" si="64"/>
        <v>男</v>
      </c>
      <c r="F362" s="7"/>
    </row>
    <row r="363" spans="1:6" ht="30" customHeight="1">
      <c r="A363" s="7">
        <v>361</v>
      </c>
      <c r="B363" s="7" t="str">
        <f>"34542021112411333352616"</f>
        <v>34542021112411333352616</v>
      </c>
      <c r="C363" s="7" t="s">
        <v>15</v>
      </c>
      <c r="D363" s="7" t="str">
        <f>"符孔玲"</f>
        <v>符孔玲</v>
      </c>
      <c r="E363" s="7" t="str">
        <f aca="true" t="shared" si="65" ref="E363:E367">"女"</f>
        <v>女</v>
      </c>
      <c r="F363" s="7"/>
    </row>
    <row r="364" spans="1:6" ht="30" customHeight="1">
      <c r="A364" s="7">
        <v>362</v>
      </c>
      <c r="B364" s="7" t="str">
        <f>"34542021112411335052618"</f>
        <v>34542021112411335052618</v>
      </c>
      <c r="C364" s="7" t="s">
        <v>15</v>
      </c>
      <c r="D364" s="7" t="str">
        <f>"吴桃艳"</f>
        <v>吴桃艳</v>
      </c>
      <c r="E364" s="7" t="str">
        <f t="shared" si="65"/>
        <v>女</v>
      </c>
      <c r="F364" s="7"/>
    </row>
    <row r="365" spans="1:6" ht="30" customHeight="1">
      <c r="A365" s="7">
        <v>363</v>
      </c>
      <c r="B365" s="7" t="str">
        <f>"34542021112414075752651"</f>
        <v>34542021112414075752651</v>
      </c>
      <c r="C365" s="7" t="s">
        <v>15</v>
      </c>
      <c r="D365" s="7" t="str">
        <f>"吴军武"</f>
        <v>吴军武</v>
      </c>
      <c r="E365" s="7" t="str">
        <f>"男"</f>
        <v>男</v>
      </c>
      <c r="F365" s="7"/>
    </row>
    <row r="366" spans="1:6" ht="30" customHeight="1">
      <c r="A366" s="7">
        <v>364</v>
      </c>
      <c r="B366" s="7" t="str">
        <f>"34542021112422285052821"</f>
        <v>34542021112422285052821</v>
      </c>
      <c r="C366" s="7" t="s">
        <v>15</v>
      </c>
      <c r="D366" s="7" t="str">
        <f>"丁紫欣"</f>
        <v>丁紫欣</v>
      </c>
      <c r="E366" s="7" t="str">
        <f t="shared" si="65"/>
        <v>女</v>
      </c>
      <c r="F366" s="7"/>
    </row>
    <row r="367" spans="1:6" ht="30" customHeight="1">
      <c r="A367" s="7">
        <v>365</v>
      </c>
      <c r="B367" s="7" t="str">
        <f>"34542021112423234152841"</f>
        <v>34542021112423234152841</v>
      </c>
      <c r="C367" s="7" t="s">
        <v>15</v>
      </c>
      <c r="D367" s="7" t="str">
        <f>"钟前霞"</f>
        <v>钟前霞</v>
      </c>
      <c r="E367" s="7" t="str">
        <f t="shared" si="65"/>
        <v>女</v>
      </c>
      <c r="F367" s="7"/>
    </row>
    <row r="368" spans="1:6" ht="30" customHeight="1">
      <c r="A368" s="7">
        <v>366</v>
      </c>
      <c r="B368" s="7" t="str">
        <f>"34542021112500222052855"</f>
        <v>34542021112500222052855</v>
      </c>
      <c r="C368" s="7" t="s">
        <v>15</v>
      </c>
      <c r="D368" s="7" t="str">
        <f>"陈焕辉"</f>
        <v>陈焕辉</v>
      </c>
      <c r="E368" s="7" t="str">
        <f>"男"</f>
        <v>男</v>
      </c>
      <c r="F368" s="7"/>
    </row>
    <row r="369" spans="1:6" ht="30" customHeight="1">
      <c r="A369" s="7">
        <v>367</v>
      </c>
      <c r="B369" s="7" t="str">
        <f>"34542021112508082552870"</f>
        <v>34542021112508082552870</v>
      </c>
      <c r="C369" s="7" t="s">
        <v>15</v>
      </c>
      <c r="D369" s="7" t="str">
        <f>"施国芸"</f>
        <v>施国芸</v>
      </c>
      <c r="E369" s="7" t="str">
        <f aca="true" t="shared" si="66" ref="E369:E373">"女"</f>
        <v>女</v>
      </c>
      <c r="F369" s="7"/>
    </row>
    <row r="370" spans="1:6" ht="30" customHeight="1">
      <c r="A370" s="7">
        <v>368</v>
      </c>
      <c r="B370" s="7" t="str">
        <f>"34542021112509024252885"</f>
        <v>34542021112509024252885</v>
      </c>
      <c r="C370" s="7" t="s">
        <v>15</v>
      </c>
      <c r="D370" s="7" t="str">
        <f>"王美女"</f>
        <v>王美女</v>
      </c>
      <c r="E370" s="7" t="str">
        <f t="shared" si="66"/>
        <v>女</v>
      </c>
      <c r="F370" s="7"/>
    </row>
    <row r="371" spans="1:6" ht="30" customHeight="1">
      <c r="A371" s="7">
        <v>369</v>
      </c>
      <c r="B371" s="7" t="str">
        <f>"34542021112509211752892"</f>
        <v>34542021112509211752892</v>
      </c>
      <c r="C371" s="7" t="s">
        <v>15</v>
      </c>
      <c r="D371" s="7" t="str">
        <f>"刘炎"</f>
        <v>刘炎</v>
      </c>
      <c r="E371" s="7" t="str">
        <f t="shared" si="66"/>
        <v>女</v>
      </c>
      <c r="F371" s="7"/>
    </row>
    <row r="372" spans="1:6" ht="30" customHeight="1">
      <c r="A372" s="7">
        <v>370</v>
      </c>
      <c r="B372" s="7" t="str">
        <f>"34542021112509303852897"</f>
        <v>34542021112509303852897</v>
      </c>
      <c r="C372" s="7" t="s">
        <v>15</v>
      </c>
      <c r="D372" s="7" t="str">
        <f>"陈小琴"</f>
        <v>陈小琴</v>
      </c>
      <c r="E372" s="7" t="str">
        <f t="shared" si="66"/>
        <v>女</v>
      </c>
      <c r="F372" s="7"/>
    </row>
    <row r="373" spans="1:6" ht="30" customHeight="1">
      <c r="A373" s="7">
        <v>371</v>
      </c>
      <c r="B373" s="7" t="str">
        <f>"34542021112510001852910"</f>
        <v>34542021112510001852910</v>
      </c>
      <c r="C373" s="7" t="s">
        <v>15</v>
      </c>
      <c r="D373" s="7" t="str">
        <f>"蒲有兰"</f>
        <v>蒲有兰</v>
      </c>
      <c r="E373" s="7" t="str">
        <f t="shared" si="66"/>
        <v>女</v>
      </c>
      <c r="F373" s="7"/>
    </row>
    <row r="374" spans="1:6" ht="30" customHeight="1">
      <c r="A374" s="7">
        <v>372</v>
      </c>
      <c r="B374" s="7" t="str">
        <f>"34542021112510192752917"</f>
        <v>34542021112510192752917</v>
      </c>
      <c r="C374" s="7" t="s">
        <v>15</v>
      </c>
      <c r="D374" s="7" t="str">
        <f>"羊奕"</f>
        <v>羊奕</v>
      </c>
      <c r="E374" s="7" t="str">
        <f aca="true" t="shared" si="67" ref="E374:E379">"男"</f>
        <v>男</v>
      </c>
      <c r="F374" s="7"/>
    </row>
    <row r="375" spans="1:6" ht="30" customHeight="1">
      <c r="A375" s="7">
        <v>373</v>
      </c>
      <c r="B375" s="7" t="str">
        <f>"34542021112510295052921"</f>
        <v>34542021112510295052921</v>
      </c>
      <c r="C375" s="7" t="s">
        <v>15</v>
      </c>
      <c r="D375" s="7" t="str">
        <f>"陈美玲"</f>
        <v>陈美玲</v>
      </c>
      <c r="E375" s="7" t="str">
        <f aca="true" t="shared" si="68" ref="E375:E378">"女"</f>
        <v>女</v>
      </c>
      <c r="F375" s="7"/>
    </row>
    <row r="376" spans="1:6" ht="30" customHeight="1">
      <c r="A376" s="7">
        <v>374</v>
      </c>
      <c r="B376" s="7" t="str">
        <f>"34542021112510512952933"</f>
        <v>34542021112510512952933</v>
      </c>
      <c r="C376" s="7" t="s">
        <v>15</v>
      </c>
      <c r="D376" s="7" t="str">
        <f>"陈美琼"</f>
        <v>陈美琼</v>
      </c>
      <c r="E376" s="7" t="str">
        <f t="shared" si="68"/>
        <v>女</v>
      </c>
      <c r="F376" s="7"/>
    </row>
    <row r="377" spans="1:6" ht="30" customHeight="1">
      <c r="A377" s="7">
        <v>375</v>
      </c>
      <c r="B377" s="7" t="str">
        <f>"34542021112511241352942"</f>
        <v>34542021112511241352942</v>
      </c>
      <c r="C377" s="7" t="s">
        <v>15</v>
      </c>
      <c r="D377" s="7" t="str">
        <f>"林小文"</f>
        <v>林小文</v>
      </c>
      <c r="E377" s="7" t="str">
        <f t="shared" si="67"/>
        <v>男</v>
      </c>
      <c r="F377" s="7"/>
    </row>
    <row r="378" spans="1:6" ht="30" customHeight="1">
      <c r="A378" s="7">
        <v>376</v>
      </c>
      <c r="B378" s="7" t="str">
        <f>"34542021112511274152945"</f>
        <v>34542021112511274152945</v>
      </c>
      <c r="C378" s="7" t="s">
        <v>15</v>
      </c>
      <c r="D378" s="7" t="str">
        <f>"符梨妹"</f>
        <v>符梨妹</v>
      </c>
      <c r="E378" s="7" t="str">
        <f t="shared" si="68"/>
        <v>女</v>
      </c>
      <c r="F378" s="7"/>
    </row>
    <row r="379" spans="1:6" ht="30" customHeight="1">
      <c r="A379" s="7">
        <v>377</v>
      </c>
      <c r="B379" s="7" t="str">
        <f>"34542021111909005150400"</f>
        <v>34542021111909005150400</v>
      </c>
      <c r="C379" s="7" t="s">
        <v>16</v>
      </c>
      <c r="D379" s="7" t="str">
        <f>"陈其富"</f>
        <v>陈其富</v>
      </c>
      <c r="E379" s="7" t="str">
        <f t="shared" si="67"/>
        <v>男</v>
      </c>
      <c r="F379" s="7"/>
    </row>
    <row r="380" spans="1:6" ht="30" customHeight="1">
      <c r="A380" s="7">
        <v>378</v>
      </c>
      <c r="B380" s="7" t="str">
        <f>"34542021111909182050446"</f>
        <v>34542021111909182050446</v>
      </c>
      <c r="C380" s="7" t="s">
        <v>16</v>
      </c>
      <c r="D380" s="7" t="str">
        <f>"李彩芬"</f>
        <v>李彩芬</v>
      </c>
      <c r="E380" s="7" t="str">
        <f aca="true" t="shared" si="69" ref="E380:E384">"女"</f>
        <v>女</v>
      </c>
      <c r="F380" s="7"/>
    </row>
    <row r="381" spans="1:6" ht="30" customHeight="1">
      <c r="A381" s="7">
        <v>379</v>
      </c>
      <c r="B381" s="7" t="str">
        <f>"34542021111909275050465"</f>
        <v>34542021111909275050465</v>
      </c>
      <c r="C381" s="7" t="s">
        <v>16</v>
      </c>
      <c r="D381" s="7" t="str">
        <f>"周桃花"</f>
        <v>周桃花</v>
      </c>
      <c r="E381" s="7" t="str">
        <f t="shared" si="69"/>
        <v>女</v>
      </c>
      <c r="F381" s="7"/>
    </row>
    <row r="382" spans="1:6" ht="30" customHeight="1">
      <c r="A382" s="7">
        <v>380</v>
      </c>
      <c r="B382" s="7" t="str">
        <f>"34542021111911483450673"</f>
        <v>34542021111911483450673</v>
      </c>
      <c r="C382" s="7" t="s">
        <v>16</v>
      </c>
      <c r="D382" s="7" t="str">
        <f>"李大位"</f>
        <v>李大位</v>
      </c>
      <c r="E382" s="7" t="str">
        <f aca="true" t="shared" si="70" ref="E382:E387">"男"</f>
        <v>男</v>
      </c>
      <c r="F382" s="7"/>
    </row>
    <row r="383" spans="1:6" ht="30" customHeight="1">
      <c r="A383" s="7">
        <v>381</v>
      </c>
      <c r="B383" s="7" t="str">
        <f>"34542021111915124850834"</f>
        <v>34542021111915124850834</v>
      </c>
      <c r="C383" s="7" t="s">
        <v>16</v>
      </c>
      <c r="D383" s="7" t="str">
        <f>"吴慧凤"</f>
        <v>吴慧凤</v>
      </c>
      <c r="E383" s="7" t="str">
        <f t="shared" si="69"/>
        <v>女</v>
      </c>
      <c r="F383" s="7"/>
    </row>
    <row r="384" spans="1:6" ht="30" customHeight="1">
      <c r="A384" s="7">
        <v>382</v>
      </c>
      <c r="B384" s="7" t="str">
        <f>"34542021111915193450842"</f>
        <v>34542021111915193450842</v>
      </c>
      <c r="C384" s="7" t="s">
        <v>16</v>
      </c>
      <c r="D384" s="7" t="str">
        <f>"陈虹"</f>
        <v>陈虹</v>
      </c>
      <c r="E384" s="7" t="str">
        <f t="shared" si="69"/>
        <v>女</v>
      </c>
      <c r="F384" s="7"/>
    </row>
    <row r="385" spans="1:6" ht="30" customHeight="1">
      <c r="A385" s="7">
        <v>383</v>
      </c>
      <c r="B385" s="7" t="str">
        <f>"34542021111915342350864"</f>
        <v>34542021111915342350864</v>
      </c>
      <c r="C385" s="7" t="s">
        <v>16</v>
      </c>
      <c r="D385" s="7" t="str">
        <f>"何应琼"</f>
        <v>何应琼</v>
      </c>
      <c r="E385" s="7" t="str">
        <f t="shared" si="70"/>
        <v>男</v>
      </c>
      <c r="F385" s="7"/>
    </row>
    <row r="386" spans="1:6" ht="30" customHeight="1">
      <c r="A386" s="7">
        <v>384</v>
      </c>
      <c r="B386" s="7" t="str">
        <f>"34542021111916405350936"</f>
        <v>34542021111916405350936</v>
      </c>
      <c r="C386" s="7" t="s">
        <v>16</v>
      </c>
      <c r="D386" s="7" t="str">
        <f>"陈秀玉"</f>
        <v>陈秀玉</v>
      </c>
      <c r="E386" s="7" t="str">
        <f aca="true" t="shared" si="71" ref="E386:E391">"女"</f>
        <v>女</v>
      </c>
      <c r="F386" s="7"/>
    </row>
    <row r="387" spans="1:6" ht="30" customHeight="1">
      <c r="A387" s="7">
        <v>385</v>
      </c>
      <c r="B387" s="7" t="str">
        <f>"34542021111919211951015"</f>
        <v>34542021111919211951015</v>
      </c>
      <c r="C387" s="7" t="s">
        <v>16</v>
      </c>
      <c r="D387" s="7" t="str">
        <f>"罗琛"</f>
        <v>罗琛</v>
      </c>
      <c r="E387" s="7" t="str">
        <f t="shared" si="70"/>
        <v>男</v>
      </c>
      <c r="F387" s="7"/>
    </row>
    <row r="388" spans="1:6" ht="30" customHeight="1">
      <c r="A388" s="7">
        <v>386</v>
      </c>
      <c r="B388" s="7" t="str">
        <f>"34542021111919231551016"</f>
        <v>34542021111919231551016</v>
      </c>
      <c r="C388" s="7" t="s">
        <v>16</v>
      </c>
      <c r="D388" s="7" t="str">
        <f>"何风丹"</f>
        <v>何风丹</v>
      </c>
      <c r="E388" s="7" t="str">
        <f t="shared" si="71"/>
        <v>女</v>
      </c>
      <c r="F388" s="7"/>
    </row>
    <row r="389" spans="1:6" ht="30" customHeight="1">
      <c r="A389" s="7">
        <v>387</v>
      </c>
      <c r="B389" s="7" t="str">
        <f>"34542021112012241951246"</f>
        <v>34542021112012241951246</v>
      </c>
      <c r="C389" s="7" t="s">
        <v>16</v>
      </c>
      <c r="D389" s="7" t="str">
        <f>"符锡才"</f>
        <v>符锡才</v>
      </c>
      <c r="E389" s="7" t="str">
        <f t="shared" si="71"/>
        <v>女</v>
      </c>
      <c r="F389" s="7"/>
    </row>
    <row r="390" spans="1:6" ht="30" customHeight="1">
      <c r="A390" s="7">
        <v>388</v>
      </c>
      <c r="B390" s="7" t="str">
        <f>"34542021112012594351258"</f>
        <v>34542021112012594351258</v>
      </c>
      <c r="C390" s="7" t="s">
        <v>16</v>
      </c>
      <c r="D390" s="7" t="str">
        <f>"张运美"</f>
        <v>张运美</v>
      </c>
      <c r="E390" s="7" t="str">
        <f t="shared" si="71"/>
        <v>女</v>
      </c>
      <c r="F390" s="7"/>
    </row>
    <row r="391" spans="1:6" ht="30" customHeight="1">
      <c r="A391" s="7">
        <v>389</v>
      </c>
      <c r="B391" s="7" t="str">
        <f>"34542021112017005951325"</f>
        <v>34542021112017005951325</v>
      </c>
      <c r="C391" s="7" t="s">
        <v>16</v>
      </c>
      <c r="D391" s="7" t="str">
        <f>"高方珠"</f>
        <v>高方珠</v>
      </c>
      <c r="E391" s="7" t="str">
        <f t="shared" si="71"/>
        <v>女</v>
      </c>
      <c r="F391" s="7"/>
    </row>
    <row r="392" spans="1:6" ht="30" customHeight="1">
      <c r="A392" s="7">
        <v>390</v>
      </c>
      <c r="B392" s="7" t="str">
        <f>"34542021112017420151342"</f>
        <v>34542021112017420151342</v>
      </c>
      <c r="C392" s="7" t="s">
        <v>16</v>
      </c>
      <c r="D392" s="7" t="str">
        <f>"苏庆忠"</f>
        <v>苏庆忠</v>
      </c>
      <c r="E392" s="7" t="str">
        <f aca="true" t="shared" si="72" ref="E392:E397">"男"</f>
        <v>男</v>
      </c>
      <c r="F392" s="7"/>
    </row>
    <row r="393" spans="1:6" ht="30" customHeight="1">
      <c r="A393" s="7">
        <v>391</v>
      </c>
      <c r="B393" s="7" t="str">
        <f>"34542021112019281751373"</f>
        <v>34542021112019281751373</v>
      </c>
      <c r="C393" s="7" t="s">
        <v>16</v>
      </c>
      <c r="D393" s="7" t="str">
        <f>"陈博堂"</f>
        <v>陈博堂</v>
      </c>
      <c r="E393" s="7" t="str">
        <f t="shared" si="72"/>
        <v>男</v>
      </c>
      <c r="F393" s="7"/>
    </row>
    <row r="394" spans="1:6" ht="30" customHeight="1">
      <c r="A394" s="7">
        <v>392</v>
      </c>
      <c r="B394" s="7" t="str">
        <f>"34542021112021390051417"</f>
        <v>34542021112021390051417</v>
      </c>
      <c r="C394" s="7" t="s">
        <v>16</v>
      </c>
      <c r="D394" s="7" t="str">
        <f>"羊木楼"</f>
        <v>羊木楼</v>
      </c>
      <c r="E394" s="7" t="str">
        <f aca="true" t="shared" si="73" ref="E394:E396">"女"</f>
        <v>女</v>
      </c>
      <c r="F394" s="7"/>
    </row>
    <row r="395" spans="1:6" ht="30" customHeight="1">
      <c r="A395" s="7">
        <v>393</v>
      </c>
      <c r="B395" s="7" t="str">
        <f>"34542021112022172351429"</f>
        <v>34542021112022172351429</v>
      </c>
      <c r="C395" s="7" t="s">
        <v>16</v>
      </c>
      <c r="D395" s="7" t="str">
        <f>"王淑花"</f>
        <v>王淑花</v>
      </c>
      <c r="E395" s="7" t="str">
        <f t="shared" si="73"/>
        <v>女</v>
      </c>
      <c r="F395" s="7"/>
    </row>
    <row r="396" spans="1:6" ht="30" customHeight="1">
      <c r="A396" s="7">
        <v>394</v>
      </c>
      <c r="B396" s="7" t="str">
        <f>"34542021112116132651596"</f>
        <v>34542021112116132651596</v>
      </c>
      <c r="C396" s="7" t="s">
        <v>16</v>
      </c>
      <c r="D396" s="7" t="str">
        <f>"符可菊"</f>
        <v>符可菊</v>
      </c>
      <c r="E396" s="7" t="str">
        <f t="shared" si="73"/>
        <v>女</v>
      </c>
      <c r="F396" s="7"/>
    </row>
    <row r="397" spans="1:6" ht="30" customHeight="1">
      <c r="A397" s="7">
        <v>395</v>
      </c>
      <c r="B397" s="7" t="str">
        <f>"34542021112118315451642"</f>
        <v>34542021112118315451642</v>
      </c>
      <c r="C397" s="7" t="s">
        <v>16</v>
      </c>
      <c r="D397" s="7" t="str">
        <f>"苏华生"</f>
        <v>苏华生</v>
      </c>
      <c r="E397" s="7" t="str">
        <f t="shared" si="72"/>
        <v>男</v>
      </c>
      <c r="F397" s="7"/>
    </row>
    <row r="398" spans="1:6" ht="30" customHeight="1">
      <c r="A398" s="7">
        <v>396</v>
      </c>
      <c r="B398" s="7" t="str">
        <f>"34542021112209555051805"</f>
        <v>34542021112209555051805</v>
      </c>
      <c r="C398" s="7" t="s">
        <v>16</v>
      </c>
      <c r="D398" s="7" t="str">
        <f>"吴月彩"</f>
        <v>吴月彩</v>
      </c>
      <c r="E398" s="7" t="str">
        <f aca="true" t="shared" si="74" ref="E398:E407">"女"</f>
        <v>女</v>
      </c>
      <c r="F398" s="7"/>
    </row>
    <row r="399" spans="1:6" ht="30" customHeight="1">
      <c r="A399" s="7">
        <v>397</v>
      </c>
      <c r="B399" s="7" t="str">
        <f>"34542021112213220651921"</f>
        <v>34542021112213220651921</v>
      </c>
      <c r="C399" s="7" t="s">
        <v>16</v>
      </c>
      <c r="D399" s="7" t="str">
        <f>"林菊梅"</f>
        <v>林菊梅</v>
      </c>
      <c r="E399" s="7" t="str">
        <f t="shared" si="74"/>
        <v>女</v>
      </c>
      <c r="F399" s="7"/>
    </row>
    <row r="400" spans="1:6" ht="30" customHeight="1">
      <c r="A400" s="7">
        <v>398</v>
      </c>
      <c r="B400" s="7" t="str">
        <f>"34542021112220585252118"</f>
        <v>34542021112220585252118</v>
      </c>
      <c r="C400" s="7" t="s">
        <v>16</v>
      </c>
      <c r="D400" s="7" t="str">
        <f>"胡小玉"</f>
        <v>胡小玉</v>
      </c>
      <c r="E400" s="7" t="str">
        <f t="shared" si="74"/>
        <v>女</v>
      </c>
      <c r="F400" s="7"/>
    </row>
    <row r="401" spans="1:6" ht="30" customHeight="1">
      <c r="A401" s="7">
        <v>399</v>
      </c>
      <c r="B401" s="7" t="str">
        <f>"34542021112309550052222"</f>
        <v>34542021112309550052222</v>
      </c>
      <c r="C401" s="7" t="s">
        <v>16</v>
      </c>
      <c r="D401" s="7" t="str">
        <f>"陈汉凤"</f>
        <v>陈汉凤</v>
      </c>
      <c r="E401" s="7" t="str">
        <f t="shared" si="74"/>
        <v>女</v>
      </c>
      <c r="F401" s="7"/>
    </row>
    <row r="402" spans="1:6" ht="30" customHeight="1">
      <c r="A402" s="7">
        <v>400</v>
      </c>
      <c r="B402" s="7" t="str">
        <f>"34542021112316491752387"</f>
        <v>34542021112316491752387</v>
      </c>
      <c r="C402" s="7" t="s">
        <v>16</v>
      </c>
      <c r="D402" s="7" t="str">
        <f>"王元秀"</f>
        <v>王元秀</v>
      </c>
      <c r="E402" s="7" t="str">
        <f t="shared" si="74"/>
        <v>女</v>
      </c>
      <c r="F402" s="7"/>
    </row>
    <row r="403" spans="1:6" ht="30" customHeight="1">
      <c r="A403" s="7">
        <v>401</v>
      </c>
      <c r="B403" s="7" t="str">
        <f>"34542021112322560852523"</f>
        <v>34542021112322560852523</v>
      </c>
      <c r="C403" s="7" t="s">
        <v>16</v>
      </c>
      <c r="D403" s="7" t="str">
        <f>"李秋霖"</f>
        <v>李秋霖</v>
      </c>
      <c r="E403" s="7" t="str">
        <f t="shared" si="74"/>
        <v>女</v>
      </c>
      <c r="F403" s="7"/>
    </row>
    <row r="404" spans="1:6" ht="30" customHeight="1">
      <c r="A404" s="7">
        <v>402</v>
      </c>
      <c r="B404" s="7" t="str">
        <f>"34542021112410441652599"</f>
        <v>34542021112410441652599</v>
      </c>
      <c r="C404" s="7" t="s">
        <v>16</v>
      </c>
      <c r="D404" s="7" t="str">
        <f>"何茵"</f>
        <v>何茵</v>
      </c>
      <c r="E404" s="7" t="str">
        <f t="shared" si="74"/>
        <v>女</v>
      </c>
      <c r="F404" s="7"/>
    </row>
    <row r="405" spans="1:6" ht="30" customHeight="1">
      <c r="A405" s="7">
        <v>403</v>
      </c>
      <c r="B405" s="7" t="str">
        <f>"34542021112415563552676"</f>
        <v>34542021112415563552676</v>
      </c>
      <c r="C405" s="7" t="s">
        <v>16</v>
      </c>
      <c r="D405" s="7" t="str">
        <f>"谭娇妹"</f>
        <v>谭娇妹</v>
      </c>
      <c r="E405" s="7" t="str">
        <f t="shared" si="74"/>
        <v>女</v>
      </c>
      <c r="F405" s="7"/>
    </row>
    <row r="406" spans="1:6" ht="30" customHeight="1">
      <c r="A406" s="7">
        <v>404</v>
      </c>
      <c r="B406" s="7" t="str">
        <f>"34542021112417350152709"</f>
        <v>34542021112417350152709</v>
      </c>
      <c r="C406" s="7" t="s">
        <v>16</v>
      </c>
      <c r="D406" s="7" t="str">
        <f>"周菊秋"</f>
        <v>周菊秋</v>
      </c>
      <c r="E406" s="7" t="str">
        <f t="shared" si="74"/>
        <v>女</v>
      </c>
      <c r="F406" s="7"/>
    </row>
    <row r="407" spans="1:6" ht="30" customHeight="1">
      <c r="A407" s="7">
        <v>405</v>
      </c>
      <c r="B407" s="7" t="str">
        <f>"34542021112418470252732"</f>
        <v>34542021112418470252732</v>
      </c>
      <c r="C407" s="7" t="s">
        <v>16</v>
      </c>
      <c r="D407" s="7" t="str">
        <f>"陈俏芬"</f>
        <v>陈俏芬</v>
      </c>
      <c r="E407" s="7" t="str">
        <f t="shared" si="74"/>
        <v>女</v>
      </c>
      <c r="F407" s="7"/>
    </row>
    <row r="408" spans="1:6" ht="30" customHeight="1">
      <c r="A408" s="7">
        <v>406</v>
      </c>
      <c r="B408" s="7" t="str">
        <f>"34542021111909003050399"</f>
        <v>34542021111909003050399</v>
      </c>
      <c r="C408" s="7" t="s">
        <v>17</v>
      </c>
      <c r="D408" s="7" t="str">
        <f>"王丽佳"</f>
        <v>王丽佳</v>
      </c>
      <c r="E408" s="7" t="str">
        <f aca="true" t="shared" si="75" ref="E398:E461">"女"</f>
        <v>女</v>
      </c>
      <c r="F408" s="7"/>
    </row>
    <row r="409" spans="1:6" ht="30" customHeight="1">
      <c r="A409" s="7">
        <v>407</v>
      </c>
      <c r="B409" s="7" t="str">
        <f>"34542021111909021150405"</f>
        <v>34542021111909021150405</v>
      </c>
      <c r="C409" s="7" t="s">
        <v>17</v>
      </c>
      <c r="D409" s="7" t="str">
        <f>"陈军桃"</f>
        <v>陈军桃</v>
      </c>
      <c r="E409" s="7" t="str">
        <f t="shared" si="75"/>
        <v>女</v>
      </c>
      <c r="F409" s="7"/>
    </row>
    <row r="410" spans="1:6" ht="30" customHeight="1">
      <c r="A410" s="7">
        <v>408</v>
      </c>
      <c r="B410" s="7" t="str">
        <f>"34542021111909024050406"</f>
        <v>34542021111909024050406</v>
      </c>
      <c r="C410" s="7" t="s">
        <v>17</v>
      </c>
      <c r="D410" s="7" t="str">
        <f>"王英香"</f>
        <v>王英香</v>
      </c>
      <c r="E410" s="7" t="str">
        <f t="shared" si="75"/>
        <v>女</v>
      </c>
      <c r="F410" s="7"/>
    </row>
    <row r="411" spans="1:6" ht="30" customHeight="1">
      <c r="A411" s="7">
        <v>409</v>
      </c>
      <c r="B411" s="7" t="str">
        <f>"34542021111909032050409"</f>
        <v>34542021111909032050409</v>
      </c>
      <c r="C411" s="7" t="s">
        <v>17</v>
      </c>
      <c r="D411" s="7" t="str">
        <f>"余业芳"</f>
        <v>余业芳</v>
      </c>
      <c r="E411" s="7" t="str">
        <f t="shared" si="75"/>
        <v>女</v>
      </c>
      <c r="F411" s="7"/>
    </row>
    <row r="412" spans="1:6" ht="30" customHeight="1">
      <c r="A412" s="7">
        <v>410</v>
      </c>
      <c r="B412" s="7" t="str">
        <f>"34542021111909032150410"</f>
        <v>34542021111909032150410</v>
      </c>
      <c r="C412" s="7" t="s">
        <v>17</v>
      </c>
      <c r="D412" s="7" t="str">
        <f>"谢书炎"</f>
        <v>谢书炎</v>
      </c>
      <c r="E412" s="7" t="str">
        <f t="shared" si="75"/>
        <v>女</v>
      </c>
      <c r="F412" s="7"/>
    </row>
    <row r="413" spans="1:6" ht="30" customHeight="1">
      <c r="A413" s="7">
        <v>411</v>
      </c>
      <c r="B413" s="7" t="str">
        <f>"34542021111909034150414"</f>
        <v>34542021111909034150414</v>
      </c>
      <c r="C413" s="7" t="s">
        <v>17</v>
      </c>
      <c r="D413" s="7" t="str">
        <f>"吴学燕"</f>
        <v>吴学燕</v>
      </c>
      <c r="E413" s="7" t="str">
        <f t="shared" si="75"/>
        <v>女</v>
      </c>
      <c r="F413" s="7"/>
    </row>
    <row r="414" spans="1:6" ht="30" customHeight="1">
      <c r="A414" s="7">
        <v>412</v>
      </c>
      <c r="B414" s="7" t="str">
        <f>"34542021111909035850415"</f>
        <v>34542021111909035850415</v>
      </c>
      <c r="C414" s="7" t="s">
        <v>17</v>
      </c>
      <c r="D414" s="7" t="str">
        <f>"符菊香"</f>
        <v>符菊香</v>
      </c>
      <c r="E414" s="7" t="str">
        <f t="shared" si="75"/>
        <v>女</v>
      </c>
      <c r="F414" s="7"/>
    </row>
    <row r="415" spans="1:6" ht="30" customHeight="1">
      <c r="A415" s="7">
        <v>413</v>
      </c>
      <c r="B415" s="7" t="str">
        <f>"34542021111909041150417"</f>
        <v>34542021111909041150417</v>
      </c>
      <c r="C415" s="7" t="s">
        <v>17</v>
      </c>
      <c r="D415" s="7" t="str">
        <f>"唐木柳"</f>
        <v>唐木柳</v>
      </c>
      <c r="E415" s="7" t="str">
        <f t="shared" si="75"/>
        <v>女</v>
      </c>
      <c r="F415" s="7"/>
    </row>
    <row r="416" spans="1:6" ht="30" customHeight="1">
      <c r="A416" s="7">
        <v>414</v>
      </c>
      <c r="B416" s="7" t="str">
        <f>"34542021111909050550418"</f>
        <v>34542021111909050550418</v>
      </c>
      <c r="C416" s="7" t="s">
        <v>17</v>
      </c>
      <c r="D416" s="7" t="str">
        <f>"余丹花"</f>
        <v>余丹花</v>
      </c>
      <c r="E416" s="7" t="str">
        <f t="shared" si="75"/>
        <v>女</v>
      </c>
      <c r="F416" s="7"/>
    </row>
    <row r="417" spans="1:6" ht="30" customHeight="1">
      <c r="A417" s="7">
        <v>415</v>
      </c>
      <c r="B417" s="7" t="str">
        <f>"34542021111909061350420"</f>
        <v>34542021111909061350420</v>
      </c>
      <c r="C417" s="7" t="s">
        <v>17</v>
      </c>
      <c r="D417" s="7" t="str">
        <f>"李卓川"</f>
        <v>李卓川</v>
      </c>
      <c r="E417" s="7" t="str">
        <f t="shared" si="75"/>
        <v>女</v>
      </c>
      <c r="F417" s="7"/>
    </row>
    <row r="418" spans="1:6" ht="30" customHeight="1">
      <c r="A418" s="7">
        <v>416</v>
      </c>
      <c r="B418" s="7" t="str">
        <f>"34542021111909072050423"</f>
        <v>34542021111909072050423</v>
      </c>
      <c r="C418" s="7" t="s">
        <v>17</v>
      </c>
      <c r="D418" s="7" t="str">
        <f>"郑玉逢"</f>
        <v>郑玉逢</v>
      </c>
      <c r="E418" s="7" t="str">
        <f t="shared" si="75"/>
        <v>女</v>
      </c>
      <c r="F418" s="7"/>
    </row>
    <row r="419" spans="1:6" ht="30" customHeight="1">
      <c r="A419" s="7">
        <v>417</v>
      </c>
      <c r="B419" s="7" t="str">
        <f>"34542021111909084150428"</f>
        <v>34542021111909084150428</v>
      </c>
      <c r="C419" s="7" t="s">
        <v>17</v>
      </c>
      <c r="D419" s="7" t="str">
        <f>"张秋丹"</f>
        <v>张秋丹</v>
      </c>
      <c r="E419" s="7" t="str">
        <f t="shared" si="75"/>
        <v>女</v>
      </c>
      <c r="F419" s="7"/>
    </row>
    <row r="420" spans="1:6" ht="30" customHeight="1">
      <c r="A420" s="7">
        <v>418</v>
      </c>
      <c r="B420" s="7" t="str">
        <f>"34542021111909101550430"</f>
        <v>34542021111909101550430</v>
      </c>
      <c r="C420" s="7" t="s">
        <v>17</v>
      </c>
      <c r="D420" s="7" t="str">
        <f>"吴美丽"</f>
        <v>吴美丽</v>
      </c>
      <c r="E420" s="7" t="str">
        <f t="shared" si="75"/>
        <v>女</v>
      </c>
      <c r="F420" s="7"/>
    </row>
    <row r="421" spans="1:6" ht="30" customHeight="1">
      <c r="A421" s="7">
        <v>419</v>
      </c>
      <c r="B421" s="7" t="str">
        <f>"34542021111909105150432"</f>
        <v>34542021111909105150432</v>
      </c>
      <c r="C421" s="7" t="s">
        <v>17</v>
      </c>
      <c r="D421" s="7" t="str">
        <f>"范仁丽"</f>
        <v>范仁丽</v>
      </c>
      <c r="E421" s="7" t="str">
        <f t="shared" si="75"/>
        <v>女</v>
      </c>
      <c r="F421" s="7"/>
    </row>
    <row r="422" spans="1:6" ht="30" customHeight="1">
      <c r="A422" s="7">
        <v>420</v>
      </c>
      <c r="B422" s="7" t="str">
        <f>"34542021111909114550434"</f>
        <v>34542021111909114550434</v>
      </c>
      <c r="C422" s="7" t="s">
        <v>17</v>
      </c>
      <c r="D422" s="7" t="str">
        <f>"黄海杏"</f>
        <v>黄海杏</v>
      </c>
      <c r="E422" s="7" t="str">
        <f t="shared" si="75"/>
        <v>女</v>
      </c>
      <c r="F422" s="7"/>
    </row>
    <row r="423" spans="1:6" ht="30" customHeight="1">
      <c r="A423" s="7">
        <v>421</v>
      </c>
      <c r="B423" s="7" t="str">
        <f>"34542021111909123150435"</f>
        <v>34542021111909123150435</v>
      </c>
      <c r="C423" s="7" t="s">
        <v>17</v>
      </c>
      <c r="D423" s="7" t="str">
        <f>"林发丽"</f>
        <v>林发丽</v>
      </c>
      <c r="E423" s="7" t="str">
        <f t="shared" si="75"/>
        <v>女</v>
      </c>
      <c r="F423" s="7"/>
    </row>
    <row r="424" spans="1:6" ht="30" customHeight="1">
      <c r="A424" s="7">
        <v>422</v>
      </c>
      <c r="B424" s="7" t="str">
        <f>"34542021111909171150443"</f>
        <v>34542021111909171150443</v>
      </c>
      <c r="C424" s="7" t="s">
        <v>17</v>
      </c>
      <c r="D424" s="7" t="str">
        <f>"何春花"</f>
        <v>何春花</v>
      </c>
      <c r="E424" s="7" t="str">
        <f t="shared" si="75"/>
        <v>女</v>
      </c>
      <c r="F424" s="7"/>
    </row>
    <row r="425" spans="1:6" ht="30" customHeight="1">
      <c r="A425" s="7">
        <v>423</v>
      </c>
      <c r="B425" s="7" t="str">
        <f>"34542021111909184250447"</f>
        <v>34542021111909184250447</v>
      </c>
      <c r="C425" s="7" t="s">
        <v>17</v>
      </c>
      <c r="D425" s="7" t="str">
        <f>"冯莉莉"</f>
        <v>冯莉莉</v>
      </c>
      <c r="E425" s="7" t="str">
        <f t="shared" si="75"/>
        <v>女</v>
      </c>
      <c r="F425" s="7"/>
    </row>
    <row r="426" spans="1:6" ht="30" customHeight="1">
      <c r="A426" s="7">
        <v>424</v>
      </c>
      <c r="B426" s="7" t="str">
        <f>"34542021111909204650449"</f>
        <v>34542021111909204650449</v>
      </c>
      <c r="C426" s="7" t="s">
        <v>17</v>
      </c>
      <c r="D426" s="7" t="str">
        <f>"王二女"</f>
        <v>王二女</v>
      </c>
      <c r="E426" s="7" t="str">
        <f t="shared" si="75"/>
        <v>女</v>
      </c>
      <c r="F426" s="7"/>
    </row>
    <row r="427" spans="1:6" ht="30" customHeight="1">
      <c r="A427" s="7">
        <v>425</v>
      </c>
      <c r="B427" s="7" t="str">
        <f>"34542021111909213150452"</f>
        <v>34542021111909213150452</v>
      </c>
      <c r="C427" s="7" t="s">
        <v>17</v>
      </c>
      <c r="D427" s="7" t="str">
        <f>"黎玉坤"</f>
        <v>黎玉坤</v>
      </c>
      <c r="E427" s="7" t="str">
        <f t="shared" si="75"/>
        <v>女</v>
      </c>
      <c r="F427" s="7"/>
    </row>
    <row r="428" spans="1:6" ht="30" customHeight="1">
      <c r="A428" s="7">
        <v>426</v>
      </c>
      <c r="B428" s="7" t="str">
        <f>"34542021111909241150459"</f>
        <v>34542021111909241150459</v>
      </c>
      <c r="C428" s="7" t="s">
        <v>17</v>
      </c>
      <c r="D428" s="7" t="str">
        <f>"陈垂燕"</f>
        <v>陈垂燕</v>
      </c>
      <c r="E428" s="7" t="str">
        <f t="shared" si="75"/>
        <v>女</v>
      </c>
      <c r="F428" s="7"/>
    </row>
    <row r="429" spans="1:6" ht="30" customHeight="1">
      <c r="A429" s="7">
        <v>427</v>
      </c>
      <c r="B429" s="7" t="str">
        <f>"34542021111909243250461"</f>
        <v>34542021111909243250461</v>
      </c>
      <c r="C429" s="7" t="s">
        <v>17</v>
      </c>
      <c r="D429" s="7" t="str">
        <f>"叶汉妃"</f>
        <v>叶汉妃</v>
      </c>
      <c r="E429" s="7" t="str">
        <f t="shared" si="75"/>
        <v>女</v>
      </c>
      <c r="F429" s="7"/>
    </row>
    <row r="430" spans="1:6" ht="30" customHeight="1">
      <c r="A430" s="7">
        <v>428</v>
      </c>
      <c r="B430" s="7" t="str">
        <f>"34542021111909260550463"</f>
        <v>34542021111909260550463</v>
      </c>
      <c r="C430" s="7" t="s">
        <v>17</v>
      </c>
      <c r="D430" s="7" t="str">
        <f>"林芳慧"</f>
        <v>林芳慧</v>
      </c>
      <c r="E430" s="7" t="str">
        <f t="shared" si="75"/>
        <v>女</v>
      </c>
      <c r="F430" s="7"/>
    </row>
    <row r="431" spans="1:6" ht="30" customHeight="1">
      <c r="A431" s="7">
        <v>429</v>
      </c>
      <c r="B431" s="7" t="str">
        <f>"34542021111909265650464"</f>
        <v>34542021111909265650464</v>
      </c>
      <c r="C431" s="7" t="s">
        <v>17</v>
      </c>
      <c r="D431" s="7" t="str">
        <f>"李土丹"</f>
        <v>李土丹</v>
      </c>
      <c r="E431" s="7" t="str">
        <f t="shared" si="75"/>
        <v>女</v>
      </c>
      <c r="F431" s="7"/>
    </row>
    <row r="432" spans="1:6" ht="30" customHeight="1">
      <c r="A432" s="7">
        <v>430</v>
      </c>
      <c r="B432" s="7" t="str">
        <f>"34542021111909282650466"</f>
        <v>34542021111909282650466</v>
      </c>
      <c r="C432" s="7" t="s">
        <v>17</v>
      </c>
      <c r="D432" s="7" t="str">
        <f>"谢立娜"</f>
        <v>谢立娜</v>
      </c>
      <c r="E432" s="7" t="str">
        <f t="shared" si="75"/>
        <v>女</v>
      </c>
      <c r="F432" s="7"/>
    </row>
    <row r="433" spans="1:6" ht="30" customHeight="1">
      <c r="A433" s="7">
        <v>431</v>
      </c>
      <c r="B433" s="7" t="str">
        <f>"34542021111909285850468"</f>
        <v>34542021111909285850468</v>
      </c>
      <c r="C433" s="7" t="s">
        <v>17</v>
      </c>
      <c r="D433" s="7" t="str">
        <f>"陈亚桃"</f>
        <v>陈亚桃</v>
      </c>
      <c r="E433" s="7" t="str">
        <f t="shared" si="75"/>
        <v>女</v>
      </c>
      <c r="F433" s="7"/>
    </row>
    <row r="434" spans="1:6" ht="30" customHeight="1">
      <c r="A434" s="7">
        <v>432</v>
      </c>
      <c r="B434" s="7" t="str">
        <f>"34542021111909301050470"</f>
        <v>34542021111909301050470</v>
      </c>
      <c r="C434" s="7" t="s">
        <v>17</v>
      </c>
      <c r="D434" s="7" t="str">
        <f>"陈秋雨"</f>
        <v>陈秋雨</v>
      </c>
      <c r="E434" s="7" t="str">
        <f t="shared" si="75"/>
        <v>女</v>
      </c>
      <c r="F434" s="7"/>
    </row>
    <row r="435" spans="1:6" ht="30" customHeight="1">
      <c r="A435" s="7">
        <v>433</v>
      </c>
      <c r="B435" s="7" t="str">
        <f>"34542021111909324750472"</f>
        <v>34542021111909324750472</v>
      </c>
      <c r="C435" s="7" t="s">
        <v>17</v>
      </c>
      <c r="D435" s="7" t="str">
        <f>"杨精女"</f>
        <v>杨精女</v>
      </c>
      <c r="E435" s="7" t="str">
        <f t="shared" si="75"/>
        <v>女</v>
      </c>
      <c r="F435" s="7"/>
    </row>
    <row r="436" spans="1:6" ht="30" customHeight="1">
      <c r="A436" s="7">
        <v>434</v>
      </c>
      <c r="B436" s="7" t="str">
        <f>"34542021111909331450473"</f>
        <v>34542021111909331450473</v>
      </c>
      <c r="C436" s="7" t="s">
        <v>17</v>
      </c>
      <c r="D436" s="7" t="str">
        <f>"周菲"</f>
        <v>周菲</v>
      </c>
      <c r="E436" s="7" t="str">
        <f t="shared" si="75"/>
        <v>女</v>
      </c>
      <c r="F436" s="7"/>
    </row>
    <row r="437" spans="1:6" ht="30" customHeight="1">
      <c r="A437" s="7">
        <v>435</v>
      </c>
      <c r="B437" s="7" t="str">
        <f>"34542021111909370850479"</f>
        <v>34542021111909370850479</v>
      </c>
      <c r="C437" s="7" t="s">
        <v>17</v>
      </c>
      <c r="D437" s="7" t="str">
        <f>"陈彩玲"</f>
        <v>陈彩玲</v>
      </c>
      <c r="E437" s="7" t="str">
        <f t="shared" si="75"/>
        <v>女</v>
      </c>
      <c r="F437" s="7"/>
    </row>
    <row r="438" spans="1:6" ht="30" customHeight="1">
      <c r="A438" s="7">
        <v>436</v>
      </c>
      <c r="B438" s="7" t="str">
        <f>"34542021111909431750489"</f>
        <v>34542021111909431750489</v>
      </c>
      <c r="C438" s="7" t="s">
        <v>17</v>
      </c>
      <c r="D438" s="7" t="str">
        <f>"朱文妹"</f>
        <v>朱文妹</v>
      </c>
      <c r="E438" s="7" t="str">
        <f t="shared" si="75"/>
        <v>女</v>
      </c>
      <c r="F438" s="7"/>
    </row>
    <row r="439" spans="1:6" ht="30" customHeight="1">
      <c r="A439" s="7">
        <v>437</v>
      </c>
      <c r="B439" s="7" t="str">
        <f>"34542021111909440850490"</f>
        <v>34542021111909440850490</v>
      </c>
      <c r="C439" s="7" t="s">
        <v>17</v>
      </c>
      <c r="D439" s="7" t="str">
        <f>"谢永丽"</f>
        <v>谢永丽</v>
      </c>
      <c r="E439" s="7" t="str">
        <f t="shared" si="75"/>
        <v>女</v>
      </c>
      <c r="F439" s="7"/>
    </row>
    <row r="440" spans="1:6" ht="30" customHeight="1">
      <c r="A440" s="7">
        <v>438</v>
      </c>
      <c r="B440" s="7" t="str">
        <f>"34542021111909443350492"</f>
        <v>34542021111909443350492</v>
      </c>
      <c r="C440" s="7" t="s">
        <v>17</v>
      </c>
      <c r="D440" s="7" t="str">
        <f>"林万妮"</f>
        <v>林万妮</v>
      </c>
      <c r="E440" s="7" t="str">
        <f t="shared" si="75"/>
        <v>女</v>
      </c>
      <c r="F440" s="7"/>
    </row>
    <row r="441" spans="1:6" ht="30" customHeight="1">
      <c r="A441" s="7">
        <v>439</v>
      </c>
      <c r="B441" s="7" t="str">
        <f>"34542021111909482650497"</f>
        <v>34542021111909482650497</v>
      </c>
      <c r="C441" s="7" t="s">
        <v>17</v>
      </c>
      <c r="D441" s="7" t="str">
        <f>"吴平秀"</f>
        <v>吴平秀</v>
      </c>
      <c r="E441" s="7" t="str">
        <f t="shared" si="75"/>
        <v>女</v>
      </c>
      <c r="F441" s="7"/>
    </row>
    <row r="442" spans="1:6" ht="30" customHeight="1">
      <c r="A442" s="7">
        <v>440</v>
      </c>
      <c r="B442" s="7" t="str">
        <f>"34542021111909505850499"</f>
        <v>34542021111909505850499</v>
      </c>
      <c r="C442" s="7" t="s">
        <v>17</v>
      </c>
      <c r="D442" s="7" t="str">
        <f>"吴丽和"</f>
        <v>吴丽和</v>
      </c>
      <c r="E442" s="7" t="str">
        <f t="shared" si="75"/>
        <v>女</v>
      </c>
      <c r="F442" s="7"/>
    </row>
    <row r="443" spans="1:6" ht="30" customHeight="1">
      <c r="A443" s="7">
        <v>441</v>
      </c>
      <c r="B443" s="7" t="str">
        <f>"34542021111909572850509"</f>
        <v>34542021111909572850509</v>
      </c>
      <c r="C443" s="7" t="s">
        <v>17</v>
      </c>
      <c r="D443" s="7" t="str">
        <f>"林道颖"</f>
        <v>林道颖</v>
      </c>
      <c r="E443" s="7" t="str">
        <f t="shared" si="75"/>
        <v>女</v>
      </c>
      <c r="F443" s="7"/>
    </row>
    <row r="444" spans="1:6" ht="30" customHeight="1">
      <c r="A444" s="7">
        <v>442</v>
      </c>
      <c r="B444" s="7" t="str">
        <f>"34542021111909574450510"</f>
        <v>34542021111909574450510</v>
      </c>
      <c r="C444" s="7" t="s">
        <v>17</v>
      </c>
      <c r="D444" s="7" t="str">
        <f>"羊秀娟"</f>
        <v>羊秀娟</v>
      </c>
      <c r="E444" s="7" t="str">
        <f t="shared" si="75"/>
        <v>女</v>
      </c>
      <c r="F444" s="7"/>
    </row>
    <row r="445" spans="1:6" ht="30" customHeight="1">
      <c r="A445" s="7">
        <v>443</v>
      </c>
      <c r="B445" s="7" t="str">
        <f>"34542021111909593750513"</f>
        <v>34542021111909593750513</v>
      </c>
      <c r="C445" s="7" t="s">
        <v>17</v>
      </c>
      <c r="D445" s="7" t="str">
        <f>"许月涝"</f>
        <v>许月涝</v>
      </c>
      <c r="E445" s="7" t="str">
        <f t="shared" si="75"/>
        <v>女</v>
      </c>
      <c r="F445" s="7"/>
    </row>
    <row r="446" spans="1:6" ht="30" customHeight="1">
      <c r="A446" s="7">
        <v>444</v>
      </c>
      <c r="B446" s="7" t="str">
        <f>"34542021111910001550514"</f>
        <v>34542021111910001550514</v>
      </c>
      <c r="C446" s="7" t="s">
        <v>17</v>
      </c>
      <c r="D446" s="7" t="str">
        <f>"符小妹"</f>
        <v>符小妹</v>
      </c>
      <c r="E446" s="7" t="str">
        <f t="shared" si="75"/>
        <v>女</v>
      </c>
      <c r="F446" s="7"/>
    </row>
    <row r="447" spans="1:6" ht="30" customHeight="1">
      <c r="A447" s="7">
        <v>445</v>
      </c>
      <c r="B447" s="7" t="str">
        <f>"34542021111910005250515"</f>
        <v>34542021111910005250515</v>
      </c>
      <c r="C447" s="7" t="s">
        <v>17</v>
      </c>
      <c r="D447" s="7" t="str">
        <f>"骆凤彩"</f>
        <v>骆凤彩</v>
      </c>
      <c r="E447" s="7" t="str">
        <f t="shared" si="75"/>
        <v>女</v>
      </c>
      <c r="F447" s="7"/>
    </row>
    <row r="448" spans="1:6" ht="30" customHeight="1">
      <c r="A448" s="7">
        <v>446</v>
      </c>
      <c r="B448" s="7" t="str">
        <f>"34542021111910020750517"</f>
        <v>34542021111910020750517</v>
      </c>
      <c r="C448" s="7" t="s">
        <v>17</v>
      </c>
      <c r="D448" s="7" t="str">
        <f>"胡莲萍"</f>
        <v>胡莲萍</v>
      </c>
      <c r="E448" s="7" t="str">
        <f t="shared" si="75"/>
        <v>女</v>
      </c>
      <c r="F448" s="7"/>
    </row>
    <row r="449" spans="1:6" ht="30" customHeight="1">
      <c r="A449" s="7">
        <v>447</v>
      </c>
      <c r="B449" s="7" t="str">
        <f>"34542021111910062550522"</f>
        <v>34542021111910062550522</v>
      </c>
      <c r="C449" s="7" t="s">
        <v>17</v>
      </c>
      <c r="D449" s="7" t="str">
        <f>"蔡秀尾"</f>
        <v>蔡秀尾</v>
      </c>
      <c r="E449" s="7" t="str">
        <f t="shared" si="75"/>
        <v>女</v>
      </c>
      <c r="F449" s="7"/>
    </row>
    <row r="450" spans="1:6" ht="30" customHeight="1">
      <c r="A450" s="7">
        <v>448</v>
      </c>
      <c r="B450" s="7" t="str">
        <f>"34542021111910072250524"</f>
        <v>34542021111910072250524</v>
      </c>
      <c r="C450" s="7" t="s">
        <v>17</v>
      </c>
      <c r="D450" s="7" t="str">
        <f>"羊玉兰"</f>
        <v>羊玉兰</v>
      </c>
      <c r="E450" s="7" t="str">
        <f t="shared" si="75"/>
        <v>女</v>
      </c>
      <c r="F450" s="7"/>
    </row>
    <row r="451" spans="1:6" ht="30" customHeight="1">
      <c r="A451" s="7">
        <v>449</v>
      </c>
      <c r="B451" s="7" t="str">
        <f>"34542021111910073250525"</f>
        <v>34542021111910073250525</v>
      </c>
      <c r="C451" s="7" t="s">
        <v>17</v>
      </c>
      <c r="D451" s="7" t="str">
        <f>"唐福丽"</f>
        <v>唐福丽</v>
      </c>
      <c r="E451" s="7" t="str">
        <f t="shared" si="75"/>
        <v>女</v>
      </c>
      <c r="F451" s="7"/>
    </row>
    <row r="452" spans="1:6" ht="30" customHeight="1">
      <c r="A452" s="7">
        <v>450</v>
      </c>
      <c r="B452" s="7" t="str">
        <f>"34542021111910093350528"</f>
        <v>34542021111910093350528</v>
      </c>
      <c r="C452" s="7" t="s">
        <v>17</v>
      </c>
      <c r="D452" s="7" t="str">
        <f>"黄宁"</f>
        <v>黄宁</v>
      </c>
      <c r="E452" s="7" t="str">
        <f t="shared" si="75"/>
        <v>女</v>
      </c>
      <c r="F452" s="7"/>
    </row>
    <row r="453" spans="1:6" ht="30" customHeight="1">
      <c r="A453" s="7">
        <v>451</v>
      </c>
      <c r="B453" s="7" t="str">
        <f>"34542021111910095050529"</f>
        <v>34542021111910095050529</v>
      </c>
      <c r="C453" s="7" t="s">
        <v>17</v>
      </c>
      <c r="D453" s="7" t="str">
        <f>"谢书楼"</f>
        <v>谢书楼</v>
      </c>
      <c r="E453" s="7" t="str">
        <f t="shared" si="75"/>
        <v>女</v>
      </c>
      <c r="F453" s="7"/>
    </row>
    <row r="454" spans="1:6" ht="30" customHeight="1">
      <c r="A454" s="7">
        <v>452</v>
      </c>
      <c r="B454" s="7" t="str">
        <f>"34542021111910161550536"</f>
        <v>34542021111910161550536</v>
      </c>
      <c r="C454" s="7" t="s">
        <v>17</v>
      </c>
      <c r="D454" s="7" t="str">
        <f>"李雷雨"</f>
        <v>李雷雨</v>
      </c>
      <c r="E454" s="7" t="str">
        <f t="shared" si="75"/>
        <v>女</v>
      </c>
      <c r="F454" s="7"/>
    </row>
    <row r="455" spans="1:6" ht="30" customHeight="1">
      <c r="A455" s="7">
        <v>453</v>
      </c>
      <c r="B455" s="7" t="str">
        <f>"34542021111910163950537"</f>
        <v>34542021111910163950537</v>
      </c>
      <c r="C455" s="7" t="s">
        <v>17</v>
      </c>
      <c r="D455" s="7" t="str">
        <f>"苏高彩"</f>
        <v>苏高彩</v>
      </c>
      <c r="E455" s="7" t="str">
        <f t="shared" si="75"/>
        <v>女</v>
      </c>
      <c r="F455" s="7"/>
    </row>
    <row r="456" spans="1:6" ht="30" customHeight="1">
      <c r="A456" s="7">
        <v>454</v>
      </c>
      <c r="B456" s="7" t="str">
        <f>"34542021111910185450541"</f>
        <v>34542021111910185450541</v>
      </c>
      <c r="C456" s="7" t="s">
        <v>17</v>
      </c>
      <c r="D456" s="7" t="str">
        <f>"郭向妹"</f>
        <v>郭向妹</v>
      </c>
      <c r="E456" s="7" t="str">
        <f t="shared" si="75"/>
        <v>女</v>
      </c>
      <c r="F456" s="7"/>
    </row>
    <row r="457" spans="1:6" ht="30" customHeight="1">
      <c r="A457" s="7">
        <v>455</v>
      </c>
      <c r="B457" s="7" t="str">
        <f>"34542021111910200450542"</f>
        <v>34542021111910200450542</v>
      </c>
      <c r="C457" s="7" t="s">
        <v>17</v>
      </c>
      <c r="D457" s="7" t="str">
        <f>"陈才妹"</f>
        <v>陈才妹</v>
      </c>
      <c r="E457" s="7" t="str">
        <f t="shared" si="75"/>
        <v>女</v>
      </c>
      <c r="F457" s="7"/>
    </row>
    <row r="458" spans="1:6" ht="30" customHeight="1">
      <c r="A458" s="7">
        <v>456</v>
      </c>
      <c r="B458" s="7" t="str">
        <f>"34542021111910210450547"</f>
        <v>34542021111910210450547</v>
      </c>
      <c r="C458" s="7" t="s">
        <v>17</v>
      </c>
      <c r="D458" s="7" t="str">
        <f>"符联莹"</f>
        <v>符联莹</v>
      </c>
      <c r="E458" s="7" t="str">
        <f t="shared" si="75"/>
        <v>女</v>
      </c>
      <c r="F458" s="7"/>
    </row>
    <row r="459" spans="1:6" ht="30" customHeight="1">
      <c r="A459" s="7">
        <v>457</v>
      </c>
      <c r="B459" s="7" t="str">
        <f>"34542021111910235150552"</f>
        <v>34542021111910235150552</v>
      </c>
      <c r="C459" s="7" t="s">
        <v>17</v>
      </c>
      <c r="D459" s="7" t="str">
        <f>"陈博娜"</f>
        <v>陈博娜</v>
      </c>
      <c r="E459" s="7" t="str">
        <f t="shared" si="75"/>
        <v>女</v>
      </c>
      <c r="F459" s="7"/>
    </row>
    <row r="460" spans="1:6" ht="30" customHeight="1">
      <c r="A460" s="7">
        <v>458</v>
      </c>
      <c r="B460" s="7" t="str">
        <f>"34542021111910240450554"</f>
        <v>34542021111910240450554</v>
      </c>
      <c r="C460" s="7" t="s">
        <v>17</v>
      </c>
      <c r="D460" s="7" t="str">
        <f>"桂超"</f>
        <v>桂超</v>
      </c>
      <c r="E460" s="7" t="str">
        <f t="shared" si="75"/>
        <v>女</v>
      </c>
      <c r="F460" s="7"/>
    </row>
    <row r="461" spans="1:6" ht="30" customHeight="1">
      <c r="A461" s="7">
        <v>459</v>
      </c>
      <c r="B461" s="7" t="str">
        <f>"34542021111910281350558"</f>
        <v>34542021111910281350558</v>
      </c>
      <c r="C461" s="7" t="s">
        <v>17</v>
      </c>
      <c r="D461" s="7" t="str">
        <f>"李正玲"</f>
        <v>李正玲</v>
      </c>
      <c r="E461" s="7" t="str">
        <f t="shared" si="75"/>
        <v>女</v>
      </c>
      <c r="F461" s="7"/>
    </row>
    <row r="462" spans="1:6" ht="30" customHeight="1">
      <c r="A462" s="7">
        <v>460</v>
      </c>
      <c r="B462" s="7" t="str">
        <f>"34542021111910281850560"</f>
        <v>34542021111910281850560</v>
      </c>
      <c r="C462" s="7" t="s">
        <v>17</v>
      </c>
      <c r="D462" s="7" t="str">
        <f>"李冬桃"</f>
        <v>李冬桃</v>
      </c>
      <c r="E462" s="7" t="str">
        <f aca="true" t="shared" si="76" ref="E462:E475">"女"</f>
        <v>女</v>
      </c>
      <c r="F462" s="7"/>
    </row>
    <row r="463" spans="1:6" ht="30" customHeight="1">
      <c r="A463" s="7">
        <v>461</v>
      </c>
      <c r="B463" s="7" t="str">
        <f>"34542021111910303150561"</f>
        <v>34542021111910303150561</v>
      </c>
      <c r="C463" s="7" t="s">
        <v>17</v>
      </c>
      <c r="D463" s="7" t="str">
        <f>"王秀丽"</f>
        <v>王秀丽</v>
      </c>
      <c r="E463" s="7" t="str">
        <f t="shared" si="76"/>
        <v>女</v>
      </c>
      <c r="F463" s="7"/>
    </row>
    <row r="464" spans="1:6" ht="30" customHeight="1">
      <c r="A464" s="7">
        <v>462</v>
      </c>
      <c r="B464" s="7" t="str">
        <f>"34542021111910303450562"</f>
        <v>34542021111910303450562</v>
      </c>
      <c r="C464" s="7" t="s">
        <v>17</v>
      </c>
      <c r="D464" s="7" t="str">
        <f>"林敏"</f>
        <v>林敏</v>
      </c>
      <c r="E464" s="7" t="str">
        <f t="shared" si="76"/>
        <v>女</v>
      </c>
      <c r="F464" s="7"/>
    </row>
    <row r="465" spans="1:6" ht="30" customHeight="1">
      <c r="A465" s="7">
        <v>463</v>
      </c>
      <c r="B465" s="7" t="str">
        <f>"34542021111910303550563"</f>
        <v>34542021111910303550563</v>
      </c>
      <c r="C465" s="7" t="s">
        <v>17</v>
      </c>
      <c r="D465" s="7" t="str">
        <f>"蔡海英"</f>
        <v>蔡海英</v>
      </c>
      <c r="E465" s="7" t="str">
        <f t="shared" si="76"/>
        <v>女</v>
      </c>
      <c r="F465" s="7"/>
    </row>
    <row r="466" spans="1:6" ht="30" customHeight="1">
      <c r="A466" s="7">
        <v>464</v>
      </c>
      <c r="B466" s="7" t="str">
        <f>"34542021111910344150566"</f>
        <v>34542021111910344150566</v>
      </c>
      <c r="C466" s="7" t="s">
        <v>17</v>
      </c>
      <c r="D466" s="7" t="str">
        <f>"陈正媛"</f>
        <v>陈正媛</v>
      </c>
      <c r="E466" s="7" t="str">
        <f t="shared" si="76"/>
        <v>女</v>
      </c>
      <c r="F466" s="7"/>
    </row>
    <row r="467" spans="1:6" ht="30" customHeight="1">
      <c r="A467" s="7">
        <v>465</v>
      </c>
      <c r="B467" s="7" t="str">
        <f>"34542021111910345550567"</f>
        <v>34542021111910345550567</v>
      </c>
      <c r="C467" s="7" t="s">
        <v>17</v>
      </c>
      <c r="D467" s="7" t="str">
        <f>"王有娥"</f>
        <v>王有娥</v>
      </c>
      <c r="E467" s="7" t="str">
        <f t="shared" si="76"/>
        <v>女</v>
      </c>
      <c r="F467" s="7"/>
    </row>
    <row r="468" spans="1:6" ht="30" customHeight="1">
      <c r="A468" s="7">
        <v>466</v>
      </c>
      <c r="B468" s="7" t="str">
        <f>"34542021111910370850572"</f>
        <v>34542021111910370850572</v>
      </c>
      <c r="C468" s="7" t="s">
        <v>17</v>
      </c>
      <c r="D468" s="7" t="str">
        <f>"符乾容"</f>
        <v>符乾容</v>
      </c>
      <c r="E468" s="7" t="str">
        <f t="shared" si="76"/>
        <v>女</v>
      </c>
      <c r="F468" s="7"/>
    </row>
    <row r="469" spans="1:6" ht="30" customHeight="1">
      <c r="A469" s="7">
        <v>467</v>
      </c>
      <c r="B469" s="7" t="str">
        <f>"34542021111910382750574"</f>
        <v>34542021111910382750574</v>
      </c>
      <c r="C469" s="7" t="s">
        <v>17</v>
      </c>
      <c r="D469" s="7" t="str">
        <f>"李扬慧"</f>
        <v>李扬慧</v>
      </c>
      <c r="E469" s="7" t="str">
        <f t="shared" si="76"/>
        <v>女</v>
      </c>
      <c r="F469" s="7"/>
    </row>
    <row r="470" spans="1:6" ht="30" customHeight="1">
      <c r="A470" s="7">
        <v>468</v>
      </c>
      <c r="B470" s="7" t="str">
        <f>"34542021111910390950577"</f>
        <v>34542021111910390950577</v>
      </c>
      <c r="C470" s="7" t="s">
        <v>17</v>
      </c>
      <c r="D470" s="7" t="str">
        <f>"唐喜祥"</f>
        <v>唐喜祥</v>
      </c>
      <c r="E470" s="7" t="str">
        <f t="shared" si="76"/>
        <v>女</v>
      </c>
      <c r="F470" s="7"/>
    </row>
    <row r="471" spans="1:6" ht="30" customHeight="1">
      <c r="A471" s="7">
        <v>469</v>
      </c>
      <c r="B471" s="7" t="str">
        <f>"34542021111910392950579"</f>
        <v>34542021111910392950579</v>
      </c>
      <c r="C471" s="7" t="s">
        <v>17</v>
      </c>
      <c r="D471" s="7" t="str">
        <f>"陈冠秀"</f>
        <v>陈冠秀</v>
      </c>
      <c r="E471" s="7" t="str">
        <f t="shared" si="76"/>
        <v>女</v>
      </c>
      <c r="F471" s="7"/>
    </row>
    <row r="472" spans="1:6" ht="30" customHeight="1">
      <c r="A472" s="7">
        <v>470</v>
      </c>
      <c r="B472" s="7" t="str">
        <f>"34542021111910405350581"</f>
        <v>34542021111910405350581</v>
      </c>
      <c r="C472" s="7" t="s">
        <v>17</v>
      </c>
      <c r="D472" s="7" t="str">
        <f>"符寿彩"</f>
        <v>符寿彩</v>
      </c>
      <c r="E472" s="7" t="str">
        <f t="shared" si="76"/>
        <v>女</v>
      </c>
      <c r="F472" s="7"/>
    </row>
    <row r="473" spans="1:6" ht="30" customHeight="1">
      <c r="A473" s="7">
        <v>471</v>
      </c>
      <c r="B473" s="7" t="str">
        <f>"34542021111910405950582"</f>
        <v>34542021111910405950582</v>
      </c>
      <c r="C473" s="7" t="s">
        <v>17</v>
      </c>
      <c r="D473" s="7" t="str">
        <f>"何伟娟"</f>
        <v>何伟娟</v>
      </c>
      <c r="E473" s="7" t="str">
        <f t="shared" si="76"/>
        <v>女</v>
      </c>
      <c r="F473" s="7"/>
    </row>
    <row r="474" spans="1:6" ht="30" customHeight="1">
      <c r="A474" s="7">
        <v>472</v>
      </c>
      <c r="B474" s="7" t="str">
        <f>"34542021111910420950586"</f>
        <v>34542021111910420950586</v>
      </c>
      <c r="C474" s="7" t="s">
        <v>17</v>
      </c>
      <c r="D474" s="7" t="str">
        <f>"郑秋婷"</f>
        <v>郑秋婷</v>
      </c>
      <c r="E474" s="7" t="str">
        <f t="shared" si="76"/>
        <v>女</v>
      </c>
      <c r="F474" s="7"/>
    </row>
    <row r="475" spans="1:6" ht="30" customHeight="1">
      <c r="A475" s="7">
        <v>473</v>
      </c>
      <c r="B475" s="7" t="str">
        <f>"34542021111910430950589"</f>
        <v>34542021111910430950589</v>
      </c>
      <c r="C475" s="7" t="s">
        <v>17</v>
      </c>
      <c r="D475" s="7" t="str">
        <f>"李伟菊"</f>
        <v>李伟菊</v>
      </c>
      <c r="E475" s="7" t="str">
        <f t="shared" si="76"/>
        <v>女</v>
      </c>
      <c r="F475" s="7"/>
    </row>
    <row r="476" spans="1:6" ht="30" customHeight="1">
      <c r="A476" s="7">
        <v>474</v>
      </c>
      <c r="B476" s="7" t="str">
        <f>"34542021111910474150592"</f>
        <v>34542021111910474150592</v>
      </c>
      <c r="C476" s="7" t="s">
        <v>17</v>
      </c>
      <c r="D476" s="7" t="str">
        <f>"凌珩然"</f>
        <v>凌珩然</v>
      </c>
      <c r="E476" s="7" t="str">
        <f>"男"</f>
        <v>男</v>
      </c>
      <c r="F476" s="7"/>
    </row>
    <row r="477" spans="1:6" ht="30" customHeight="1">
      <c r="A477" s="7">
        <v>475</v>
      </c>
      <c r="B477" s="7" t="str">
        <f>"34542021111910532350598"</f>
        <v>34542021111910532350598</v>
      </c>
      <c r="C477" s="7" t="s">
        <v>17</v>
      </c>
      <c r="D477" s="7" t="str">
        <f>"王二女"</f>
        <v>王二女</v>
      </c>
      <c r="E477" s="7" t="str">
        <f aca="true" t="shared" si="77" ref="E477:E540">"女"</f>
        <v>女</v>
      </c>
      <c r="F477" s="7"/>
    </row>
    <row r="478" spans="1:6" ht="30" customHeight="1">
      <c r="A478" s="7">
        <v>476</v>
      </c>
      <c r="B478" s="7" t="str">
        <f>"34542021111910560350600"</f>
        <v>34542021111910560350600</v>
      </c>
      <c r="C478" s="7" t="s">
        <v>17</v>
      </c>
      <c r="D478" s="7" t="str">
        <f>"苏丹丹"</f>
        <v>苏丹丹</v>
      </c>
      <c r="E478" s="7" t="str">
        <f t="shared" si="77"/>
        <v>女</v>
      </c>
      <c r="F478" s="7"/>
    </row>
    <row r="479" spans="1:6" ht="30" customHeight="1">
      <c r="A479" s="7">
        <v>477</v>
      </c>
      <c r="B479" s="7" t="str">
        <f>"34542021111911001250607"</f>
        <v>34542021111911001250607</v>
      </c>
      <c r="C479" s="7" t="s">
        <v>17</v>
      </c>
      <c r="D479" s="7" t="str">
        <f>"陈菊得"</f>
        <v>陈菊得</v>
      </c>
      <c r="E479" s="7" t="str">
        <f t="shared" si="77"/>
        <v>女</v>
      </c>
      <c r="F479" s="7"/>
    </row>
    <row r="480" spans="1:6" ht="30" customHeight="1">
      <c r="A480" s="7">
        <v>478</v>
      </c>
      <c r="B480" s="7" t="str">
        <f>"34542021111911003750609"</f>
        <v>34542021111911003750609</v>
      </c>
      <c r="C480" s="7" t="s">
        <v>17</v>
      </c>
      <c r="D480" s="7" t="str">
        <f>"苏秋娜"</f>
        <v>苏秋娜</v>
      </c>
      <c r="E480" s="7" t="str">
        <f t="shared" si="77"/>
        <v>女</v>
      </c>
      <c r="F480" s="7"/>
    </row>
    <row r="481" spans="1:6" ht="30" customHeight="1">
      <c r="A481" s="7">
        <v>479</v>
      </c>
      <c r="B481" s="7" t="str">
        <f>"34542021111911041750614"</f>
        <v>34542021111911041750614</v>
      </c>
      <c r="C481" s="7" t="s">
        <v>17</v>
      </c>
      <c r="D481" s="7" t="str">
        <f>"张丽香"</f>
        <v>张丽香</v>
      </c>
      <c r="E481" s="7" t="str">
        <f t="shared" si="77"/>
        <v>女</v>
      </c>
      <c r="F481" s="7"/>
    </row>
    <row r="482" spans="1:6" ht="30" customHeight="1">
      <c r="A482" s="7">
        <v>480</v>
      </c>
      <c r="B482" s="7" t="str">
        <f>"34542021111911070050617"</f>
        <v>34542021111911070050617</v>
      </c>
      <c r="C482" s="7" t="s">
        <v>17</v>
      </c>
      <c r="D482" s="7" t="str">
        <f>"李霞"</f>
        <v>李霞</v>
      </c>
      <c r="E482" s="7" t="str">
        <f t="shared" si="77"/>
        <v>女</v>
      </c>
      <c r="F482" s="7"/>
    </row>
    <row r="483" spans="1:6" ht="30" customHeight="1">
      <c r="A483" s="7">
        <v>481</v>
      </c>
      <c r="B483" s="7" t="str">
        <f>"34542021111911083150618"</f>
        <v>34542021111911083150618</v>
      </c>
      <c r="C483" s="7" t="s">
        <v>17</v>
      </c>
      <c r="D483" s="7" t="str">
        <f>"符太秋"</f>
        <v>符太秋</v>
      </c>
      <c r="E483" s="7" t="str">
        <f t="shared" si="77"/>
        <v>女</v>
      </c>
      <c r="F483" s="7"/>
    </row>
    <row r="484" spans="1:6" ht="30" customHeight="1">
      <c r="A484" s="7">
        <v>482</v>
      </c>
      <c r="B484" s="7" t="str">
        <f>"34542021111911091450619"</f>
        <v>34542021111911091450619</v>
      </c>
      <c r="C484" s="7" t="s">
        <v>17</v>
      </c>
      <c r="D484" s="7" t="str">
        <f>"谢秀英"</f>
        <v>谢秀英</v>
      </c>
      <c r="E484" s="7" t="str">
        <f t="shared" si="77"/>
        <v>女</v>
      </c>
      <c r="F484" s="7"/>
    </row>
    <row r="485" spans="1:6" ht="30" customHeight="1">
      <c r="A485" s="7">
        <v>483</v>
      </c>
      <c r="B485" s="7" t="str">
        <f>"34542021111911092750620"</f>
        <v>34542021111911092750620</v>
      </c>
      <c r="C485" s="7" t="s">
        <v>17</v>
      </c>
      <c r="D485" s="7" t="str">
        <f>"羊金秀"</f>
        <v>羊金秀</v>
      </c>
      <c r="E485" s="7" t="str">
        <f t="shared" si="77"/>
        <v>女</v>
      </c>
      <c r="F485" s="7"/>
    </row>
    <row r="486" spans="1:6" ht="30" customHeight="1">
      <c r="A486" s="7">
        <v>484</v>
      </c>
      <c r="B486" s="7" t="str">
        <f>"34542021111911161750628"</f>
        <v>34542021111911161750628</v>
      </c>
      <c r="C486" s="7" t="s">
        <v>17</v>
      </c>
      <c r="D486" s="7" t="str">
        <f>"林妹妹"</f>
        <v>林妹妹</v>
      </c>
      <c r="E486" s="7" t="str">
        <f t="shared" si="77"/>
        <v>女</v>
      </c>
      <c r="F486" s="7"/>
    </row>
    <row r="487" spans="1:6" ht="30" customHeight="1">
      <c r="A487" s="7">
        <v>485</v>
      </c>
      <c r="B487" s="7" t="str">
        <f>"34542021111911164450629"</f>
        <v>34542021111911164450629</v>
      </c>
      <c r="C487" s="7" t="s">
        <v>17</v>
      </c>
      <c r="D487" s="7" t="str">
        <f>"秦慧"</f>
        <v>秦慧</v>
      </c>
      <c r="E487" s="7" t="str">
        <f t="shared" si="77"/>
        <v>女</v>
      </c>
      <c r="F487" s="7"/>
    </row>
    <row r="488" spans="1:6" ht="30" customHeight="1">
      <c r="A488" s="7">
        <v>486</v>
      </c>
      <c r="B488" s="7" t="str">
        <f>"34542021111911302750649"</f>
        <v>34542021111911302750649</v>
      </c>
      <c r="C488" s="7" t="s">
        <v>17</v>
      </c>
      <c r="D488" s="7" t="str">
        <f>"吴秀玉"</f>
        <v>吴秀玉</v>
      </c>
      <c r="E488" s="7" t="str">
        <f t="shared" si="77"/>
        <v>女</v>
      </c>
      <c r="F488" s="7"/>
    </row>
    <row r="489" spans="1:6" ht="30" customHeight="1">
      <c r="A489" s="7">
        <v>487</v>
      </c>
      <c r="B489" s="7" t="str">
        <f>"34542021111911341150656"</f>
        <v>34542021111911341150656</v>
      </c>
      <c r="C489" s="7" t="s">
        <v>17</v>
      </c>
      <c r="D489" s="7" t="str">
        <f>"陈国花"</f>
        <v>陈国花</v>
      </c>
      <c r="E489" s="7" t="str">
        <f t="shared" si="77"/>
        <v>女</v>
      </c>
      <c r="F489" s="7"/>
    </row>
    <row r="490" spans="1:6" ht="30" customHeight="1">
      <c r="A490" s="7">
        <v>488</v>
      </c>
      <c r="B490" s="7" t="str">
        <f>"34542021111911352450658"</f>
        <v>34542021111911352450658</v>
      </c>
      <c r="C490" s="7" t="s">
        <v>17</v>
      </c>
      <c r="D490" s="7" t="str">
        <f>"万克转"</f>
        <v>万克转</v>
      </c>
      <c r="E490" s="7" t="str">
        <f t="shared" si="77"/>
        <v>女</v>
      </c>
      <c r="F490" s="7"/>
    </row>
    <row r="491" spans="1:6" ht="30" customHeight="1">
      <c r="A491" s="7">
        <v>489</v>
      </c>
      <c r="B491" s="7" t="str">
        <f>"34542021111911352450659"</f>
        <v>34542021111911352450659</v>
      </c>
      <c r="C491" s="7" t="s">
        <v>17</v>
      </c>
      <c r="D491" s="7" t="str">
        <f>"骆丽花"</f>
        <v>骆丽花</v>
      </c>
      <c r="E491" s="7" t="str">
        <f t="shared" si="77"/>
        <v>女</v>
      </c>
      <c r="F491" s="7"/>
    </row>
    <row r="492" spans="1:6" ht="30" customHeight="1">
      <c r="A492" s="7">
        <v>490</v>
      </c>
      <c r="B492" s="7" t="str">
        <f>"34542021111911354150660"</f>
        <v>34542021111911354150660</v>
      </c>
      <c r="C492" s="7" t="s">
        <v>17</v>
      </c>
      <c r="D492" s="7" t="str">
        <f>"戴和爱"</f>
        <v>戴和爱</v>
      </c>
      <c r="E492" s="7" t="str">
        <f t="shared" si="77"/>
        <v>女</v>
      </c>
      <c r="F492" s="7"/>
    </row>
    <row r="493" spans="1:6" ht="30" customHeight="1">
      <c r="A493" s="7">
        <v>491</v>
      </c>
      <c r="B493" s="7" t="str">
        <f>"34542021111911364150662"</f>
        <v>34542021111911364150662</v>
      </c>
      <c r="C493" s="7" t="s">
        <v>17</v>
      </c>
      <c r="D493" s="7" t="str">
        <f>"羊庆娜"</f>
        <v>羊庆娜</v>
      </c>
      <c r="E493" s="7" t="str">
        <f t="shared" si="77"/>
        <v>女</v>
      </c>
      <c r="F493" s="7"/>
    </row>
    <row r="494" spans="1:6" ht="30" customHeight="1">
      <c r="A494" s="7">
        <v>492</v>
      </c>
      <c r="B494" s="7" t="str">
        <f>"34542021111911451750669"</f>
        <v>34542021111911451750669</v>
      </c>
      <c r="C494" s="7" t="s">
        <v>17</v>
      </c>
      <c r="D494" s="7" t="str">
        <f>"黎佳翎"</f>
        <v>黎佳翎</v>
      </c>
      <c r="E494" s="7" t="str">
        <f t="shared" si="77"/>
        <v>女</v>
      </c>
      <c r="F494" s="7"/>
    </row>
    <row r="495" spans="1:6" ht="30" customHeight="1">
      <c r="A495" s="7">
        <v>493</v>
      </c>
      <c r="B495" s="7" t="str">
        <f>"34542021111911471950672"</f>
        <v>34542021111911471950672</v>
      </c>
      <c r="C495" s="7" t="s">
        <v>17</v>
      </c>
      <c r="D495" s="7" t="str">
        <f>"徐魁娟"</f>
        <v>徐魁娟</v>
      </c>
      <c r="E495" s="7" t="str">
        <f t="shared" si="77"/>
        <v>女</v>
      </c>
      <c r="F495" s="7"/>
    </row>
    <row r="496" spans="1:6" ht="30" customHeight="1">
      <c r="A496" s="7">
        <v>494</v>
      </c>
      <c r="B496" s="7" t="str">
        <f>"34542021111911511050675"</f>
        <v>34542021111911511050675</v>
      </c>
      <c r="C496" s="7" t="s">
        <v>17</v>
      </c>
      <c r="D496" s="7" t="str">
        <f>"黎选妹"</f>
        <v>黎选妹</v>
      </c>
      <c r="E496" s="7" t="str">
        <f t="shared" si="77"/>
        <v>女</v>
      </c>
      <c r="F496" s="7"/>
    </row>
    <row r="497" spans="1:6" ht="30" customHeight="1">
      <c r="A497" s="7">
        <v>495</v>
      </c>
      <c r="B497" s="7" t="str">
        <f>"34542021111911535150677"</f>
        <v>34542021111911535150677</v>
      </c>
      <c r="C497" s="7" t="s">
        <v>17</v>
      </c>
      <c r="D497" s="7" t="str">
        <f>"林秀美"</f>
        <v>林秀美</v>
      </c>
      <c r="E497" s="7" t="str">
        <f t="shared" si="77"/>
        <v>女</v>
      </c>
      <c r="F497" s="7"/>
    </row>
    <row r="498" spans="1:6" ht="30" customHeight="1">
      <c r="A498" s="7">
        <v>496</v>
      </c>
      <c r="B498" s="7" t="str">
        <f>"34542021111911535750678"</f>
        <v>34542021111911535750678</v>
      </c>
      <c r="C498" s="7" t="s">
        <v>17</v>
      </c>
      <c r="D498" s="7" t="str">
        <f>"胡莲珠"</f>
        <v>胡莲珠</v>
      </c>
      <c r="E498" s="7" t="str">
        <f t="shared" si="77"/>
        <v>女</v>
      </c>
      <c r="F498" s="7"/>
    </row>
    <row r="499" spans="1:6" ht="30" customHeight="1">
      <c r="A499" s="7">
        <v>497</v>
      </c>
      <c r="B499" s="7" t="str">
        <f>"34542021111911544750680"</f>
        <v>34542021111911544750680</v>
      </c>
      <c r="C499" s="7" t="s">
        <v>17</v>
      </c>
      <c r="D499" s="7" t="str">
        <f>"羊才维"</f>
        <v>羊才维</v>
      </c>
      <c r="E499" s="7" t="str">
        <f t="shared" si="77"/>
        <v>女</v>
      </c>
      <c r="F499" s="7"/>
    </row>
    <row r="500" spans="1:6" ht="30" customHeight="1">
      <c r="A500" s="7">
        <v>498</v>
      </c>
      <c r="B500" s="7" t="str">
        <f>"34542021111912000650681"</f>
        <v>34542021111912000650681</v>
      </c>
      <c r="C500" s="7" t="s">
        <v>17</v>
      </c>
      <c r="D500" s="7" t="str">
        <f>"符莲梅"</f>
        <v>符莲梅</v>
      </c>
      <c r="E500" s="7" t="str">
        <f t="shared" si="77"/>
        <v>女</v>
      </c>
      <c r="F500" s="7"/>
    </row>
    <row r="501" spans="1:6" ht="30" customHeight="1">
      <c r="A501" s="7">
        <v>499</v>
      </c>
      <c r="B501" s="7" t="str">
        <f>"34542021111912024550686"</f>
        <v>34542021111912024550686</v>
      </c>
      <c r="C501" s="7" t="s">
        <v>17</v>
      </c>
      <c r="D501" s="7" t="str">
        <f>"符冠拥"</f>
        <v>符冠拥</v>
      </c>
      <c r="E501" s="7" t="str">
        <f t="shared" si="77"/>
        <v>女</v>
      </c>
      <c r="F501" s="7"/>
    </row>
    <row r="502" spans="1:6" ht="30" customHeight="1">
      <c r="A502" s="7">
        <v>500</v>
      </c>
      <c r="B502" s="7" t="str">
        <f>"34542021111912054350687"</f>
        <v>34542021111912054350687</v>
      </c>
      <c r="C502" s="7" t="s">
        <v>17</v>
      </c>
      <c r="D502" s="7" t="str">
        <f>"唐秀丽"</f>
        <v>唐秀丽</v>
      </c>
      <c r="E502" s="7" t="str">
        <f t="shared" si="77"/>
        <v>女</v>
      </c>
      <c r="F502" s="7"/>
    </row>
    <row r="503" spans="1:6" ht="30" customHeight="1">
      <c r="A503" s="7">
        <v>501</v>
      </c>
      <c r="B503" s="7" t="str">
        <f>"34542021111912084150690"</f>
        <v>34542021111912084150690</v>
      </c>
      <c r="C503" s="7" t="s">
        <v>17</v>
      </c>
      <c r="D503" s="7" t="str">
        <f>"李英花"</f>
        <v>李英花</v>
      </c>
      <c r="E503" s="7" t="str">
        <f t="shared" si="77"/>
        <v>女</v>
      </c>
      <c r="F503" s="7"/>
    </row>
    <row r="504" spans="1:6" ht="30" customHeight="1">
      <c r="A504" s="7">
        <v>502</v>
      </c>
      <c r="B504" s="7" t="str">
        <f>"34542021111912101650692"</f>
        <v>34542021111912101650692</v>
      </c>
      <c r="C504" s="7" t="s">
        <v>17</v>
      </c>
      <c r="D504" s="7" t="str">
        <f>"羊桂花"</f>
        <v>羊桂花</v>
      </c>
      <c r="E504" s="7" t="str">
        <f t="shared" si="77"/>
        <v>女</v>
      </c>
      <c r="F504" s="7"/>
    </row>
    <row r="505" spans="1:6" ht="30" customHeight="1">
      <c r="A505" s="7">
        <v>503</v>
      </c>
      <c r="B505" s="7" t="str">
        <f>"34542021111912142450694"</f>
        <v>34542021111912142450694</v>
      </c>
      <c r="C505" s="7" t="s">
        <v>17</v>
      </c>
      <c r="D505" s="7" t="str">
        <f>"陈美燕"</f>
        <v>陈美燕</v>
      </c>
      <c r="E505" s="7" t="str">
        <f t="shared" si="77"/>
        <v>女</v>
      </c>
      <c r="F505" s="7"/>
    </row>
    <row r="506" spans="1:6" ht="30" customHeight="1">
      <c r="A506" s="7">
        <v>504</v>
      </c>
      <c r="B506" s="7" t="str">
        <f>"34542021111912143350695"</f>
        <v>34542021111912143350695</v>
      </c>
      <c r="C506" s="7" t="s">
        <v>17</v>
      </c>
      <c r="D506" s="7" t="str">
        <f>"林鸿杏"</f>
        <v>林鸿杏</v>
      </c>
      <c r="E506" s="7" t="str">
        <f t="shared" si="77"/>
        <v>女</v>
      </c>
      <c r="F506" s="7"/>
    </row>
    <row r="507" spans="1:6" ht="30" customHeight="1">
      <c r="A507" s="7">
        <v>505</v>
      </c>
      <c r="B507" s="7" t="str">
        <f>"34542021111912174850698"</f>
        <v>34542021111912174850698</v>
      </c>
      <c r="C507" s="7" t="s">
        <v>17</v>
      </c>
      <c r="D507" s="7" t="str">
        <f>"吴雪姣"</f>
        <v>吴雪姣</v>
      </c>
      <c r="E507" s="7" t="str">
        <f t="shared" si="77"/>
        <v>女</v>
      </c>
      <c r="F507" s="7"/>
    </row>
    <row r="508" spans="1:6" ht="30" customHeight="1">
      <c r="A508" s="7">
        <v>506</v>
      </c>
      <c r="B508" s="7" t="str">
        <f>"34542021111912193550699"</f>
        <v>34542021111912193550699</v>
      </c>
      <c r="C508" s="7" t="s">
        <v>17</v>
      </c>
      <c r="D508" s="7" t="str">
        <f>"林羽鸿"</f>
        <v>林羽鸿</v>
      </c>
      <c r="E508" s="7" t="str">
        <f t="shared" si="77"/>
        <v>女</v>
      </c>
      <c r="F508" s="7"/>
    </row>
    <row r="509" spans="1:6" ht="30" customHeight="1">
      <c r="A509" s="7">
        <v>507</v>
      </c>
      <c r="B509" s="7" t="str">
        <f>"34542021111912200050700"</f>
        <v>34542021111912200050700</v>
      </c>
      <c r="C509" s="7" t="s">
        <v>17</v>
      </c>
      <c r="D509" s="7" t="str">
        <f>"陈杏丹"</f>
        <v>陈杏丹</v>
      </c>
      <c r="E509" s="7" t="str">
        <f t="shared" si="77"/>
        <v>女</v>
      </c>
      <c r="F509" s="7"/>
    </row>
    <row r="510" spans="1:6" ht="30" customHeight="1">
      <c r="A510" s="7">
        <v>508</v>
      </c>
      <c r="B510" s="7" t="str">
        <f>"34542021111912204850701"</f>
        <v>34542021111912204850701</v>
      </c>
      <c r="C510" s="7" t="s">
        <v>17</v>
      </c>
      <c r="D510" s="7" t="str">
        <f>"赵良坤"</f>
        <v>赵良坤</v>
      </c>
      <c r="E510" s="7" t="str">
        <f t="shared" si="77"/>
        <v>女</v>
      </c>
      <c r="F510" s="7"/>
    </row>
    <row r="511" spans="1:6" ht="30" customHeight="1">
      <c r="A511" s="7">
        <v>509</v>
      </c>
      <c r="B511" s="7" t="str">
        <f>"34542021111912210950702"</f>
        <v>34542021111912210950702</v>
      </c>
      <c r="C511" s="7" t="s">
        <v>17</v>
      </c>
      <c r="D511" s="7" t="str">
        <f>"陈庆妹"</f>
        <v>陈庆妹</v>
      </c>
      <c r="E511" s="7" t="str">
        <f t="shared" si="77"/>
        <v>女</v>
      </c>
      <c r="F511" s="7"/>
    </row>
    <row r="512" spans="1:6" ht="30" customHeight="1">
      <c r="A512" s="7">
        <v>510</v>
      </c>
      <c r="B512" s="7" t="str">
        <f>"34542021111912211850703"</f>
        <v>34542021111912211850703</v>
      </c>
      <c r="C512" s="7" t="s">
        <v>17</v>
      </c>
      <c r="D512" s="7" t="str">
        <f>"卢冠丹"</f>
        <v>卢冠丹</v>
      </c>
      <c r="E512" s="7" t="str">
        <f t="shared" si="77"/>
        <v>女</v>
      </c>
      <c r="F512" s="7"/>
    </row>
    <row r="513" spans="1:6" ht="30" customHeight="1">
      <c r="A513" s="7">
        <v>511</v>
      </c>
      <c r="B513" s="7" t="str">
        <f>"34542021111912212650704"</f>
        <v>34542021111912212650704</v>
      </c>
      <c r="C513" s="7" t="s">
        <v>17</v>
      </c>
      <c r="D513" s="7" t="str">
        <f>"朱桃枝"</f>
        <v>朱桃枝</v>
      </c>
      <c r="E513" s="7" t="str">
        <f t="shared" si="77"/>
        <v>女</v>
      </c>
      <c r="F513" s="7"/>
    </row>
    <row r="514" spans="1:6" ht="30" customHeight="1">
      <c r="A514" s="7">
        <v>512</v>
      </c>
      <c r="B514" s="7" t="str">
        <f>"34542021111912251350708"</f>
        <v>34542021111912251350708</v>
      </c>
      <c r="C514" s="7" t="s">
        <v>17</v>
      </c>
      <c r="D514" s="7" t="str">
        <f>"陈小琴"</f>
        <v>陈小琴</v>
      </c>
      <c r="E514" s="7" t="str">
        <f t="shared" si="77"/>
        <v>女</v>
      </c>
      <c r="F514" s="7"/>
    </row>
    <row r="515" spans="1:6" ht="30" customHeight="1">
      <c r="A515" s="7">
        <v>513</v>
      </c>
      <c r="B515" s="7" t="str">
        <f>"34542021111912302350711"</f>
        <v>34542021111912302350711</v>
      </c>
      <c r="C515" s="7" t="s">
        <v>17</v>
      </c>
      <c r="D515" s="7" t="str">
        <f>"吴萍萍"</f>
        <v>吴萍萍</v>
      </c>
      <c r="E515" s="7" t="str">
        <f t="shared" si="77"/>
        <v>女</v>
      </c>
      <c r="F515" s="7"/>
    </row>
    <row r="516" spans="1:6" ht="30" customHeight="1">
      <c r="A516" s="7">
        <v>514</v>
      </c>
      <c r="B516" s="7" t="str">
        <f>"34542021111912402950718"</f>
        <v>34542021111912402950718</v>
      </c>
      <c r="C516" s="7" t="s">
        <v>17</v>
      </c>
      <c r="D516" s="7" t="str">
        <f>"何海伦"</f>
        <v>何海伦</v>
      </c>
      <c r="E516" s="7" t="str">
        <f t="shared" si="77"/>
        <v>女</v>
      </c>
      <c r="F516" s="7"/>
    </row>
    <row r="517" spans="1:6" ht="30" customHeight="1">
      <c r="A517" s="7">
        <v>515</v>
      </c>
      <c r="B517" s="7" t="str">
        <f>"34542021111912452450719"</f>
        <v>34542021111912452450719</v>
      </c>
      <c r="C517" s="7" t="s">
        <v>17</v>
      </c>
      <c r="D517" s="7" t="str">
        <f>"陈宝女"</f>
        <v>陈宝女</v>
      </c>
      <c r="E517" s="7" t="str">
        <f t="shared" si="77"/>
        <v>女</v>
      </c>
      <c r="F517" s="7"/>
    </row>
    <row r="518" spans="1:6" ht="30" customHeight="1">
      <c r="A518" s="7">
        <v>516</v>
      </c>
      <c r="B518" s="7" t="str">
        <f>"34542021111912452650720"</f>
        <v>34542021111912452650720</v>
      </c>
      <c r="C518" s="7" t="s">
        <v>17</v>
      </c>
      <c r="D518" s="7" t="str">
        <f>"黄丽婉"</f>
        <v>黄丽婉</v>
      </c>
      <c r="E518" s="7" t="str">
        <f t="shared" si="77"/>
        <v>女</v>
      </c>
      <c r="F518" s="7"/>
    </row>
    <row r="519" spans="1:6" ht="30" customHeight="1">
      <c r="A519" s="7">
        <v>517</v>
      </c>
      <c r="B519" s="7" t="str">
        <f>"34542021111912461550721"</f>
        <v>34542021111912461550721</v>
      </c>
      <c r="C519" s="7" t="s">
        <v>17</v>
      </c>
      <c r="D519" s="7" t="str">
        <f>"林忠莹"</f>
        <v>林忠莹</v>
      </c>
      <c r="E519" s="7" t="str">
        <f t="shared" si="77"/>
        <v>女</v>
      </c>
      <c r="F519" s="7"/>
    </row>
    <row r="520" spans="1:6" ht="30" customHeight="1">
      <c r="A520" s="7">
        <v>518</v>
      </c>
      <c r="B520" s="7" t="str">
        <f>"34542021111912472250722"</f>
        <v>34542021111912472250722</v>
      </c>
      <c r="C520" s="7" t="s">
        <v>17</v>
      </c>
      <c r="D520" s="7" t="str">
        <f>"陈太坤"</f>
        <v>陈太坤</v>
      </c>
      <c r="E520" s="7" t="str">
        <f t="shared" si="77"/>
        <v>女</v>
      </c>
      <c r="F520" s="7"/>
    </row>
    <row r="521" spans="1:6" ht="30" customHeight="1">
      <c r="A521" s="7">
        <v>519</v>
      </c>
      <c r="B521" s="7" t="str">
        <f>"34542021111912475850723"</f>
        <v>34542021111912475850723</v>
      </c>
      <c r="C521" s="7" t="s">
        <v>17</v>
      </c>
      <c r="D521" s="7" t="str">
        <f>"梁有妹"</f>
        <v>梁有妹</v>
      </c>
      <c r="E521" s="7" t="str">
        <f t="shared" si="77"/>
        <v>女</v>
      </c>
      <c r="F521" s="7"/>
    </row>
    <row r="522" spans="1:6" ht="30" customHeight="1">
      <c r="A522" s="7">
        <v>520</v>
      </c>
      <c r="B522" s="7" t="str">
        <f>"34542021111912482950724"</f>
        <v>34542021111912482950724</v>
      </c>
      <c r="C522" s="7" t="s">
        <v>17</v>
      </c>
      <c r="D522" s="7" t="str">
        <f>"张燕香"</f>
        <v>张燕香</v>
      </c>
      <c r="E522" s="7" t="str">
        <f t="shared" si="77"/>
        <v>女</v>
      </c>
      <c r="F522" s="7"/>
    </row>
    <row r="523" spans="1:6" ht="30" customHeight="1">
      <c r="A523" s="7">
        <v>521</v>
      </c>
      <c r="B523" s="7" t="str">
        <f>"34542021111912505850727"</f>
        <v>34542021111912505850727</v>
      </c>
      <c r="C523" s="7" t="s">
        <v>17</v>
      </c>
      <c r="D523" s="7" t="str">
        <f>"符海珠"</f>
        <v>符海珠</v>
      </c>
      <c r="E523" s="7" t="str">
        <f t="shared" si="77"/>
        <v>女</v>
      </c>
      <c r="F523" s="7"/>
    </row>
    <row r="524" spans="1:6" ht="30" customHeight="1">
      <c r="A524" s="7">
        <v>522</v>
      </c>
      <c r="B524" s="7" t="str">
        <f>"34542021111912505950728"</f>
        <v>34542021111912505950728</v>
      </c>
      <c r="C524" s="7" t="s">
        <v>17</v>
      </c>
      <c r="D524" s="7" t="str">
        <f>"薛玉爱"</f>
        <v>薛玉爱</v>
      </c>
      <c r="E524" s="7" t="str">
        <f t="shared" si="77"/>
        <v>女</v>
      </c>
      <c r="F524" s="7"/>
    </row>
    <row r="525" spans="1:6" ht="30" customHeight="1">
      <c r="A525" s="7">
        <v>523</v>
      </c>
      <c r="B525" s="7" t="str">
        <f>"34542021111912564150732"</f>
        <v>34542021111912564150732</v>
      </c>
      <c r="C525" s="7" t="s">
        <v>17</v>
      </c>
      <c r="D525" s="7" t="str">
        <f>"李秋娥"</f>
        <v>李秋娥</v>
      </c>
      <c r="E525" s="7" t="str">
        <f t="shared" si="77"/>
        <v>女</v>
      </c>
      <c r="F525" s="7"/>
    </row>
    <row r="526" spans="1:6" ht="30" customHeight="1">
      <c r="A526" s="7">
        <v>524</v>
      </c>
      <c r="B526" s="7" t="str">
        <f>"34542021111913052650734"</f>
        <v>34542021111913052650734</v>
      </c>
      <c r="C526" s="7" t="s">
        <v>17</v>
      </c>
      <c r="D526" s="7" t="str">
        <f>"刘秀丽"</f>
        <v>刘秀丽</v>
      </c>
      <c r="E526" s="7" t="str">
        <f t="shared" si="77"/>
        <v>女</v>
      </c>
      <c r="F526" s="7"/>
    </row>
    <row r="527" spans="1:6" ht="30" customHeight="1">
      <c r="A527" s="7">
        <v>525</v>
      </c>
      <c r="B527" s="7" t="str">
        <f>"34542021111913053750735"</f>
        <v>34542021111913053750735</v>
      </c>
      <c r="C527" s="7" t="s">
        <v>17</v>
      </c>
      <c r="D527" s="7" t="str">
        <f>"吴平恋"</f>
        <v>吴平恋</v>
      </c>
      <c r="E527" s="7" t="str">
        <f t="shared" si="77"/>
        <v>女</v>
      </c>
      <c r="F527" s="7"/>
    </row>
    <row r="528" spans="1:6" ht="30" customHeight="1">
      <c r="A528" s="7">
        <v>526</v>
      </c>
      <c r="B528" s="7" t="str">
        <f>"34542021111913073250736"</f>
        <v>34542021111913073250736</v>
      </c>
      <c r="C528" s="7" t="s">
        <v>17</v>
      </c>
      <c r="D528" s="7" t="str">
        <f>"郑家莲"</f>
        <v>郑家莲</v>
      </c>
      <c r="E528" s="7" t="str">
        <f t="shared" si="77"/>
        <v>女</v>
      </c>
      <c r="F528" s="7"/>
    </row>
    <row r="529" spans="1:6" ht="30" customHeight="1">
      <c r="A529" s="7">
        <v>527</v>
      </c>
      <c r="B529" s="7" t="str">
        <f>"34542021111913125550740"</f>
        <v>34542021111913125550740</v>
      </c>
      <c r="C529" s="7" t="s">
        <v>17</v>
      </c>
      <c r="D529" s="7" t="str">
        <f>"邓官花"</f>
        <v>邓官花</v>
      </c>
      <c r="E529" s="7" t="str">
        <f t="shared" si="77"/>
        <v>女</v>
      </c>
      <c r="F529" s="7"/>
    </row>
    <row r="530" spans="1:6" ht="30" customHeight="1">
      <c r="A530" s="7">
        <v>528</v>
      </c>
      <c r="B530" s="7" t="str">
        <f>"34542021111913184250747"</f>
        <v>34542021111913184250747</v>
      </c>
      <c r="C530" s="7" t="s">
        <v>17</v>
      </c>
      <c r="D530" s="7" t="str">
        <f>"刘秀冬"</f>
        <v>刘秀冬</v>
      </c>
      <c r="E530" s="7" t="str">
        <f t="shared" si="77"/>
        <v>女</v>
      </c>
      <c r="F530" s="7"/>
    </row>
    <row r="531" spans="1:6" ht="30" customHeight="1">
      <c r="A531" s="7">
        <v>529</v>
      </c>
      <c r="B531" s="7" t="str">
        <f>"34542021111913190150748"</f>
        <v>34542021111913190150748</v>
      </c>
      <c r="C531" s="7" t="s">
        <v>17</v>
      </c>
      <c r="D531" s="7" t="str">
        <f>"赵宝睿"</f>
        <v>赵宝睿</v>
      </c>
      <c r="E531" s="7" t="str">
        <f t="shared" si="77"/>
        <v>女</v>
      </c>
      <c r="F531" s="7"/>
    </row>
    <row r="532" spans="1:6" ht="30" customHeight="1">
      <c r="A532" s="7">
        <v>530</v>
      </c>
      <c r="B532" s="7" t="str">
        <f>"34542021111913201550749"</f>
        <v>34542021111913201550749</v>
      </c>
      <c r="C532" s="7" t="s">
        <v>17</v>
      </c>
      <c r="D532" s="7" t="str">
        <f>"吴丽金"</f>
        <v>吴丽金</v>
      </c>
      <c r="E532" s="7" t="str">
        <f t="shared" si="77"/>
        <v>女</v>
      </c>
      <c r="F532" s="7"/>
    </row>
    <row r="533" spans="1:6" ht="30" customHeight="1">
      <c r="A533" s="7">
        <v>531</v>
      </c>
      <c r="B533" s="7" t="str">
        <f>"34542021111913273450752"</f>
        <v>34542021111913273450752</v>
      </c>
      <c r="C533" s="7" t="s">
        <v>17</v>
      </c>
      <c r="D533" s="7" t="str">
        <f>"郭井丽"</f>
        <v>郭井丽</v>
      </c>
      <c r="E533" s="7" t="str">
        <f t="shared" si="77"/>
        <v>女</v>
      </c>
      <c r="F533" s="7"/>
    </row>
    <row r="534" spans="1:6" ht="30" customHeight="1">
      <c r="A534" s="7">
        <v>532</v>
      </c>
      <c r="B534" s="7" t="str">
        <f>"34542021111913282650753"</f>
        <v>34542021111913282650753</v>
      </c>
      <c r="C534" s="7" t="s">
        <v>17</v>
      </c>
      <c r="D534" s="7" t="str">
        <f>"万太春"</f>
        <v>万太春</v>
      </c>
      <c r="E534" s="7" t="str">
        <f t="shared" si="77"/>
        <v>女</v>
      </c>
      <c r="F534" s="7"/>
    </row>
    <row r="535" spans="1:6" ht="30" customHeight="1">
      <c r="A535" s="7">
        <v>533</v>
      </c>
      <c r="B535" s="7" t="str">
        <f>"34542021111913324550755"</f>
        <v>34542021111913324550755</v>
      </c>
      <c r="C535" s="7" t="s">
        <v>17</v>
      </c>
      <c r="D535" s="7" t="str">
        <f>"李桃月"</f>
        <v>李桃月</v>
      </c>
      <c r="E535" s="7" t="str">
        <f t="shared" si="77"/>
        <v>女</v>
      </c>
      <c r="F535" s="7"/>
    </row>
    <row r="536" spans="1:6" ht="30" customHeight="1">
      <c r="A536" s="7">
        <v>534</v>
      </c>
      <c r="B536" s="7" t="str">
        <f>"34542021111913340950757"</f>
        <v>34542021111913340950757</v>
      </c>
      <c r="C536" s="7" t="s">
        <v>17</v>
      </c>
      <c r="D536" s="7" t="str">
        <f>"张诗巧"</f>
        <v>张诗巧</v>
      </c>
      <c r="E536" s="7" t="str">
        <f t="shared" si="77"/>
        <v>女</v>
      </c>
      <c r="F536" s="7"/>
    </row>
    <row r="537" spans="1:6" ht="30" customHeight="1">
      <c r="A537" s="7">
        <v>535</v>
      </c>
      <c r="B537" s="7" t="str">
        <f>"34542021111913355350758"</f>
        <v>34542021111913355350758</v>
      </c>
      <c r="C537" s="7" t="s">
        <v>17</v>
      </c>
      <c r="D537" s="7" t="str">
        <f>"苏慧香"</f>
        <v>苏慧香</v>
      </c>
      <c r="E537" s="7" t="str">
        <f t="shared" si="77"/>
        <v>女</v>
      </c>
      <c r="F537" s="7"/>
    </row>
    <row r="538" spans="1:6" ht="30" customHeight="1">
      <c r="A538" s="7">
        <v>536</v>
      </c>
      <c r="B538" s="7" t="str">
        <f>"34542021111913370850759"</f>
        <v>34542021111913370850759</v>
      </c>
      <c r="C538" s="7" t="s">
        <v>17</v>
      </c>
      <c r="D538" s="7" t="str">
        <f>"李姣兰"</f>
        <v>李姣兰</v>
      </c>
      <c r="E538" s="7" t="str">
        <f t="shared" si="77"/>
        <v>女</v>
      </c>
      <c r="F538" s="7"/>
    </row>
    <row r="539" spans="1:6" ht="30" customHeight="1">
      <c r="A539" s="7">
        <v>537</v>
      </c>
      <c r="B539" s="7" t="str">
        <f>"34542021111913382550760"</f>
        <v>34542021111913382550760</v>
      </c>
      <c r="C539" s="7" t="s">
        <v>17</v>
      </c>
      <c r="D539" s="7" t="str">
        <f>"蔡碧槐"</f>
        <v>蔡碧槐</v>
      </c>
      <c r="E539" s="7" t="str">
        <f t="shared" si="77"/>
        <v>女</v>
      </c>
      <c r="F539" s="7"/>
    </row>
    <row r="540" spans="1:6" ht="30" customHeight="1">
      <c r="A540" s="7">
        <v>538</v>
      </c>
      <c r="B540" s="7" t="str">
        <f>"34542021111913412550762"</f>
        <v>34542021111913412550762</v>
      </c>
      <c r="C540" s="7" t="s">
        <v>17</v>
      </c>
      <c r="D540" s="7" t="str">
        <f>"张瑾丽"</f>
        <v>张瑾丽</v>
      </c>
      <c r="E540" s="7" t="str">
        <f t="shared" si="77"/>
        <v>女</v>
      </c>
      <c r="F540" s="7"/>
    </row>
    <row r="541" spans="1:6" ht="30" customHeight="1">
      <c r="A541" s="7">
        <v>539</v>
      </c>
      <c r="B541" s="7" t="str">
        <f>"34542021111913433150765"</f>
        <v>34542021111913433150765</v>
      </c>
      <c r="C541" s="7" t="s">
        <v>17</v>
      </c>
      <c r="D541" s="7" t="str">
        <f>"符秋玲"</f>
        <v>符秋玲</v>
      </c>
      <c r="E541" s="7" t="str">
        <f aca="true" t="shared" si="78" ref="E541:E604">"女"</f>
        <v>女</v>
      </c>
      <c r="F541" s="7"/>
    </row>
    <row r="542" spans="1:6" ht="30" customHeight="1">
      <c r="A542" s="7">
        <v>540</v>
      </c>
      <c r="B542" s="7" t="str">
        <f>"34542021111913445950768"</f>
        <v>34542021111913445950768</v>
      </c>
      <c r="C542" s="7" t="s">
        <v>17</v>
      </c>
      <c r="D542" s="7" t="str">
        <f>"温翠月"</f>
        <v>温翠月</v>
      </c>
      <c r="E542" s="7" t="str">
        <f t="shared" si="78"/>
        <v>女</v>
      </c>
      <c r="F542" s="7"/>
    </row>
    <row r="543" spans="1:6" ht="30" customHeight="1">
      <c r="A543" s="7">
        <v>541</v>
      </c>
      <c r="B543" s="7" t="str">
        <f>"34542021111913452050770"</f>
        <v>34542021111913452050770</v>
      </c>
      <c r="C543" s="7" t="s">
        <v>17</v>
      </c>
      <c r="D543" s="7" t="str">
        <f>"符武萍"</f>
        <v>符武萍</v>
      </c>
      <c r="E543" s="7" t="str">
        <f t="shared" si="78"/>
        <v>女</v>
      </c>
      <c r="F543" s="7"/>
    </row>
    <row r="544" spans="1:6" ht="30" customHeight="1">
      <c r="A544" s="7">
        <v>542</v>
      </c>
      <c r="B544" s="7" t="str">
        <f>"34542021111913453450771"</f>
        <v>34542021111913453450771</v>
      </c>
      <c r="C544" s="7" t="s">
        <v>17</v>
      </c>
      <c r="D544" s="7" t="str">
        <f>"许秋爱"</f>
        <v>许秋爱</v>
      </c>
      <c r="E544" s="7" t="str">
        <f t="shared" si="78"/>
        <v>女</v>
      </c>
      <c r="F544" s="7"/>
    </row>
    <row r="545" spans="1:6" ht="30" customHeight="1">
      <c r="A545" s="7">
        <v>543</v>
      </c>
      <c r="B545" s="7" t="str">
        <f>"34542021111913460750772"</f>
        <v>34542021111913460750772</v>
      </c>
      <c r="C545" s="7" t="s">
        <v>17</v>
      </c>
      <c r="D545" s="7" t="str">
        <f>"许秀"</f>
        <v>许秀</v>
      </c>
      <c r="E545" s="7" t="str">
        <f t="shared" si="78"/>
        <v>女</v>
      </c>
      <c r="F545" s="7"/>
    </row>
    <row r="546" spans="1:6" ht="30" customHeight="1">
      <c r="A546" s="7">
        <v>544</v>
      </c>
      <c r="B546" s="7" t="str">
        <f>"34542021111913470350773"</f>
        <v>34542021111913470350773</v>
      </c>
      <c r="C546" s="7" t="s">
        <v>17</v>
      </c>
      <c r="D546" s="7" t="str">
        <f>"符姑妹"</f>
        <v>符姑妹</v>
      </c>
      <c r="E546" s="7" t="str">
        <f t="shared" si="78"/>
        <v>女</v>
      </c>
      <c r="F546" s="7"/>
    </row>
    <row r="547" spans="1:6" ht="30" customHeight="1">
      <c r="A547" s="7">
        <v>545</v>
      </c>
      <c r="B547" s="7" t="str">
        <f>"34542021111913475550774"</f>
        <v>34542021111913475550774</v>
      </c>
      <c r="C547" s="7" t="s">
        <v>17</v>
      </c>
      <c r="D547" s="7" t="str">
        <f>"吴锦素娜"</f>
        <v>吴锦素娜</v>
      </c>
      <c r="E547" s="7" t="str">
        <f t="shared" si="78"/>
        <v>女</v>
      </c>
      <c r="F547" s="7"/>
    </row>
    <row r="548" spans="1:6" ht="30" customHeight="1">
      <c r="A548" s="7">
        <v>546</v>
      </c>
      <c r="B548" s="7" t="str">
        <f>"34542021111913481550775"</f>
        <v>34542021111913481550775</v>
      </c>
      <c r="C548" s="7" t="s">
        <v>17</v>
      </c>
      <c r="D548" s="7" t="str">
        <f>"徐月芬"</f>
        <v>徐月芬</v>
      </c>
      <c r="E548" s="7" t="str">
        <f t="shared" si="78"/>
        <v>女</v>
      </c>
      <c r="F548" s="7"/>
    </row>
    <row r="549" spans="1:6" ht="30" customHeight="1">
      <c r="A549" s="7">
        <v>547</v>
      </c>
      <c r="B549" s="7" t="str">
        <f>"34542021111913484750776"</f>
        <v>34542021111913484750776</v>
      </c>
      <c r="C549" s="7" t="s">
        <v>17</v>
      </c>
      <c r="D549" s="7" t="str">
        <f>"陈长花"</f>
        <v>陈长花</v>
      </c>
      <c r="E549" s="7" t="str">
        <f t="shared" si="78"/>
        <v>女</v>
      </c>
      <c r="F549" s="7"/>
    </row>
    <row r="550" spans="1:6" ht="30" customHeight="1">
      <c r="A550" s="7">
        <v>548</v>
      </c>
      <c r="B550" s="7" t="str">
        <f>"34542021111913532450777"</f>
        <v>34542021111913532450777</v>
      </c>
      <c r="C550" s="7" t="s">
        <v>17</v>
      </c>
      <c r="D550" s="7" t="str">
        <f>"羊以娥"</f>
        <v>羊以娥</v>
      </c>
      <c r="E550" s="7" t="str">
        <f t="shared" si="78"/>
        <v>女</v>
      </c>
      <c r="F550" s="7"/>
    </row>
    <row r="551" spans="1:6" ht="30" customHeight="1">
      <c r="A551" s="7">
        <v>549</v>
      </c>
      <c r="B551" s="7" t="str">
        <f>"34542021111913583650778"</f>
        <v>34542021111913583650778</v>
      </c>
      <c r="C551" s="7" t="s">
        <v>17</v>
      </c>
      <c r="D551" s="7" t="str">
        <f>"梁秀香"</f>
        <v>梁秀香</v>
      </c>
      <c r="E551" s="7" t="str">
        <f t="shared" si="78"/>
        <v>女</v>
      </c>
      <c r="F551" s="7"/>
    </row>
    <row r="552" spans="1:6" ht="30" customHeight="1">
      <c r="A552" s="7">
        <v>550</v>
      </c>
      <c r="B552" s="7" t="str">
        <f>"34542021111914004250780"</f>
        <v>34542021111914004250780</v>
      </c>
      <c r="C552" s="7" t="s">
        <v>17</v>
      </c>
      <c r="D552" s="7" t="str">
        <f>"陈梅娟"</f>
        <v>陈梅娟</v>
      </c>
      <c r="E552" s="7" t="str">
        <f t="shared" si="78"/>
        <v>女</v>
      </c>
      <c r="F552" s="7"/>
    </row>
    <row r="553" spans="1:6" ht="30" customHeight="1">
      <c r="A553" s="7">
        <v>551</v>
      </c>
      <c r="B553" s="7" t="str">
        <f>"34542021111914012050781"</f>
        <v>34542021111914012050781</v>
      </c>
      <c r="C553" s="7" t="s">
        <v>17</v>
      </c>
      <c r="D553" s="7" t="str">
        <f>"郑静娜"</f>
        <v>郑静娜</v>
      </c>
      <c r="E553" s="7" t="str">
        <f t="shared" si="78"/>
        <v>女</v>
      </c>
      <c r="F553" s="7"/>
    </row>
    <row r="554" spans="1:6" ht="30" customHeight="1">
      <c r="A554" s="7">
        <v>552</v>
      </c>
      <c r="B554" s="7" t="str">
        <f>"34542021111914074450784"</f>
        <v>34542021111914074450784</v>
      </c>
      <c r="C554" s="7" t="s">
        <v>17</v>
      </c>
      <c r="D554" s="7" t="str">
        <f>"苏乾妹"</f>
        <v>苏乾妹</v>
      </c>
      <c r="E554" s="7" t="str">
        <f t="shared" si="78"/>
        <v>女</v>
      </c>
      <c r="F554" s="7"/>
    </row>
    <row r="555" spans="1:6" ht="30" customHeight="1">
      <c r="A555" s="7">
        <v>553</v>
      </c>
      <c r="B555" s="7" t="str">
        <f>"34542021111914111450785"</f>
        <v>34542021111914111450785</v>
      </c>
      <c r="C555" s="7" t="s">
        <v>17</v>
      </c>
      <c r="D555" s="7" t="str">
        <f>"郑欢艳"</f>
        <v>郑欢艳</v>
      </c>
      <c r="E555" s="7" t="str">
        <f t="shared" si="78"/>
        <v>女</v>
      </c>
      <c r="F555" s="7"/>
    </row>
    <row r="556" spans="1:6" ht="30" customHeight="1">
      <c r="A556" s="7">
        <v>554</v>
      </c>
      <c r="B556" s="7" t="str">
        <f>"34542021111914130950787"</f>
        <v>34542021111914130950787</v>
      </c>
      <c r="C556" s="7" t="s">
        <v>17</v>
      </c>
      <c r="D556" s="7" t="str">
        <f>"赵运合"</f>
        <v>赵运合</v>
      </c>
      <c r="E556" s="7" t="str">
        <f t="shared" si="78"/>
        <v>女</v>
      </c>
      <c r="F556" s="7"/>
    </row>
    <row r="557" spans="1:6" ht="30" customHeight="1">
      <c r="A557" s="7">
        <v>555</v>
      </c>
      <c r="B557" s="7" t="str">
        <f>"34542021111914190150793"</f>
        <v>34542021111914190150793</v>
      </c>
      <c r="C557" s="7" t="s">
        <v>17</v>
      </c>
      <c r="D557" s="7" t="str">
        <f>"郑静雅"</f>
        <v>郑静雅</v>
      </c>
      <c r="E557" s="7" t="str">
        <f t="shared" si="78"/>
        <v>女</v>
      </c>
      <c r="F557" s="7"/>
    </row>
    <row r="558" spans="1:6" ht="30" customHeight="1">
      <c r="A558" s="7">
        <v>556</v>
      </c>
      <c r="B558" s="7" t="str">
        <f>"34542021111914233350796"</f>
        <v>34542021111914233350796</v>
      </c>
      <c r="C558" s="7" t="s">
        <v>17</v>
      </c>
      <c r="D558" s="7" t="str">
        <f>"吴祥惠"</f>
        <v>吴祥惠</v>
      </c>
      <c r="E558" s="7" t="str">
        <f t="shared" si="78"/>
        <v>女</v>
      </c>
      <c r="F558" s="7"/>
    </row>
    <row r="559" spans="1:6" ht="30" customHeight="1">
      <c r="A559" s="7">
        <v>557</v>
      </c>
      <c r="B559" s="7" t="str">
        <f>"34542021111914245350798"</f>
        <v>34542021111914245350798</v>
      </c>
      <c r="C559" s="7" t="s">
        <v>17</v>
      </c>
      <c r="D559" s="7" t="str">
        <f>"李带秋"</f>
        <v>李带秋</v>
      </c>
      <c r="E559" s="7" t="str">
        <f t="shared" si="78"/>
        <v>女</v>
      </c>
      <c r="F559" s="7"/>
    </row>
    <row r="560" spans="1:6" ht="30" customHeight="1">
      <c r="A560" s="7">
        <v>558</v>
      </c>
      <c r="B560" s="7" t="str">
        <f>"34542021111914300350800"</f>
        <v>34542021111914300350800</v>
      </c>
      <c r="C560" s="7" t="s">
        <v>17</v>
      </c>
      <c r="D560" s="7" t="str">
        <f>"卢慧针"</f>
        <v>卢慧针</v>
      </c>
      <c r="E560" s="7" t="str">
        <f t="shared" si="78"/>
        <v>女</v>
      </c>
      <c r="F560" s="7"/>
    </row>
    <row r="561" spans="1:6" ht="30" customHeight="1">
      <c r="A561" s="7">
        <v>559</v>
      </c>
      <c r="B561" s="7" t="str">
        <f>"34542021111914301150801"</f>
        <v>34542021111914301150801</v>
      </c>
      <c r="C561" s="7" t="s">
        <v>17</v>
      </c>
      <c r="D561" s="7" t="str">
        <f>"林晓月"</f>
        <v>林晓月</v>
      </c>
      <c r="E561" s="7" t="str">
        <f t="shared" si="78"/>
        <v>女</v>
      </c>
      <c r="F561" s="7"/>
    </row>
    <row r="562" spans="1:6" ht="30" customHeight="1">
      <c r="A562" s="7">
        <v>560</v>
      </c>
      <c r="B562" s="7" t="str">
        <f>"34542021111914315550803"</f>
        <v>34542021111914315550803</v>
      </c>
      <c r="C562" s="7" t="s">
        <v>17</v>
      </c>
      <c r="D562" s="7" t="str">
        <f>"薛丽青"</f>
        <v>薛丽青</v>
      </c>
      <c r="E562" s="7" t="str">
        <f t="shared" si="78"/>
        <v>女</v>
      </c>
      <c r="F562" s="7"/>
    </row>
    <row r="563" spans="1:6" ht="30" customHeight="1">
      <c r="A563" s="7">
        <v>561</v>
      </c>
      <c r="B563" s="7" t="str">
        <f>"34542021111914332850805"</f>
        <v>34542021111914332850805</v>
      </c>
      <c r="C563" s="7" t="s">
        <v>17</v>
      </c>
      <c r="D563" s="7" t="str">
        <f>"李美莲"</f>
        <v>李美莲</v>
      </c>
      <c r="E563" s="7" t="str">
        <f t="shared" si="78"/>
        <v>女</v>
      </c>
      <c r="F563" s="7"/>
    </row>
    <row r="564" spans="1:6" ht="30" customHeight="1">
      <c r="A564" s="7">
        <v>562</v>
      </c>
      <c r="B564" s="7" t="str">
        <f>"34542021111914363250806"</f>
        <v>34542021111914363250806</v>
      </c>
      <c r="C564" s="7" t="s">
        <v>17</v>
      </c>
      <c r="D564" s="7" t="str">
        <f>"符玉婷"</f>
        <v>符玉婷</v>
      </c>
      <c r="E564" s="7" t="str">
        <f t="shared" si="78"/>
        <v>女</v>
      </c>
      <c r="F564" s="7"/>
    </row>
    <row r="565" spans="1:6" ht="30" customHeight="1">
      <c r="A565" s="7">
        <v>563</v>
      </c>
      <c r="B565" s="7" t="str">
        <f>"34542021111914444950810"</f>
        <v>34542021111914444950810</v>
      </c>
      <c r="C565" s="7" t="s">
        <v>17</v>
      </c>
      <c r="D565" s="7" t="str">
        <f>"黄木妍"</f>
        <v>黄木妍</v>
      </c>
      <c r="E565" s="7" t="str">
        <f t="shared" si="78"/>
        <v>女</v>
      </c>
      <c r="F565" s="7"/>
    </row>
    <row r="566" spans="1:6" ht="30" customHeight="1">
      <c r="A566" s="7">
        <v>564</v>
      </c>
      <c r="B566" s="7" t="str">
        <f>"34542021111914452750811"</f>
        <v>34542021111914452750811</v>
      </c>
      <c r="C566" s="7" t="s">
        <v>17</v>
      </c>
      <c r="D566" s="7" t="str">
        <f>"李冬花"</f>
        <v>李冬花</v>
      </c>
      <c r="E566" s="7" t="str">
        <f t="shared" si="78"/>
        <v>女</v>
      </c>
      <c r="F566" s="7"/>
    </row>
    <row r="567" spans="1:6" ht="30" customHeight="1">
      <c r="A567" s="7">
        <v>565</v>
      </c>
      <c r="B567" s="7" t="str">
        <f>"34542021111914454750812"</f>
        <v>34542021111914454750812</v>
      </c>
      <c r="C567" s="7" t="s">
        <v>17</v>
      </c>
      <c r="D567" s="7" t="str">
        <f>"王炳梅"</f>
        <v>王炳梅</v>
      </c>
      <c r="E567" s="7" t="str">
        <f t="shared" si="78"/>
        <v>女</v>
      </c>
      <c r="F567" s="7"/>
    </row>
    <row r="568" spans="1:6" ht="30" customHeight="1">
      <c r="A568" s="7">
        <v>566</v>
      </c>
      <c r="B568" s="7" t="str">
        <f>"34542021111914505650818"</f>
        <v>34542021111914505650818</v>
      </c>
      <c r="C568" s="7" t="s">
        <v>17</v>
      </c>
      <c r="D568" s="7" t="str">
        <f>"钟雪琳"</f>
        <v>钟雪琳</v>
      </c>
      <c r="E568" s="7" t="str">
        <f t="shared" si="78"/>
        <v>女</v>
      </c>
      <c r="F568" s="7"/>
    </row>
    <row r="569" spans="1:6" ht="30" customHeight="1">
      <c r="A569" s="7">
        <v>567</v>
      </c>
      <c r="B569" s="7" t="str">
        <f>"34542021111914542050821"</f>
        <v>34542021111914542050821</v>
      </c>
      <c r="C569" s="7" t="s">
        <v>17</v>
      </c>
      <c r="D569" s="7" t="str">
        <f>"吕琼妹"</f>
        <v>吕琼妹</v>
      </c>
      <c r="E569" s="7" t="str">
        <f t="shared" si="78"/>
        <v>女</v>
      </c>
      <c r="F569" s="7"/>
    </row>
    <row r="570" spans="1:6" ht="30" customHeight="1">
      <c r="A570" s="7">
        <v>568</v>
      </c>
      <c r="B570" s="7" t="str">
        <f>"34542021111914585750822"</f>
        <v>34542021111914585750822</v>
      </c>
      <c r="C570" s="7" t="s">
        <v>17</v>
      </c>
      <c r="D570" s="7" t="str">
        <f>"刘美娟"</f>
        <v>刘美娟</v>
      </c>
      <c r="E570" s="7" t="str">
        <f t="shared" si="78"/>
        <v>女</v>
      </c>
      <c r="F570" s="7"/>
    </row>
    <row r="571" spans="1:6" ht="30" customHeight="1">
      <c r="A571" s="7">
        <v>569</v>
      </c>
      <c r="B571" s="7" t="str">
        <f>"34542021111914592350823"</f>
        <v>34542021111914592350823</v>
      </c>
      <c r="C571" s="7" t="s">
        <v>17</v>
      </c>
      <c r="D571" s="7" t="str">
        <f>"王有坤"</f>
        <v>王有坤</v>
      </c>
      <c r="E571" s="7" t="str">
        <f t="shared" si="78"/>
        <v>女</v>
      </c>
      <c r="F571" s="7"/>
    </row>
    <row r="572" spans="1:6" ht="30" customHeight="1">
      <c r="A572" s="7">
        <v>570</v>
      </c>
      <c r="B572" s="7" t="str">
        <f>"34542021111915023450825"</f>
        <v>34542021111915023450825</v>
      </c>
      <c r="C572" s="7" t="s">
        <v>17</v>
      </c>
      <c r="D572" s="7" t="str">
        <f>"李衍菊"</f>
        <v>李衍菊</v>
      </c>
      <c r="E572" s="7" t="str">
        <f t="shared" si="78"/>
        <v>女</v>
      </c>
      <c r="F572" s="7"/>
    </row>
    <row r="573" spans="1:6" ht="30" customHeight="1">
      <c r="A573" s="7">
        <v>571</v>
      </c>
      <c r="B573" s="7" t="str">
        <f>"34542021111915100550829"</f>
        <v>34542021111915100550829</v>
      </c>
      <c r="C573" s="7" t="s">
        <v>17</v>
      </c>
      <c r="D573" s="7" t="str">
        <f>"梁健月"</f>
        <v>梁健月</v>
      </c>
      <c r="E573" s="7" t="str">
        <f t="shared" si="78"/>
        <v>女</v>
      </c>
      <c r="F573" s="7"/>
    </row>
    <row r="574" spans="1:6" ht="30" customHeight="1">
      <c r="A574" s="7">
        <v>572</v>
      </c>
      <c r="B574" s="7" t="str">
        <f>"34542021111915122450833"</f>
        <v>34542021111915122450833</v>
      </c>
      <c r="C574" s="7" t="s">
        <v>17</v>
      </c>
      <c r="D574" s="7" t="str">
        <f>"黄桂月"</f>
        <v>黄桂月</v>
      </c>
      <c r="E574" s="7" t="str">
        <f t="shared" si="78"/>
        <v>女</v>
      </c>
      <c r="F574" s="7"/>
    </row>
    <row r="575" spans="1:6" ht="30" customHeight="1">
      <c r="A575" s="7">
        <v>573</v>
      </c>
      <c r="B575" s="7" t="str">
        <f>"34542021111915143150835"</f>
        <v>34542021111915143150835</v>
      </c>
      <c r="C575" s="7" t="s">
        <v>17</v>
      </c>
      <c r="D575" s="7" t="str">
        <f>"罗晓益"</f>
        <v>罗晓益</v>
      </c>
      <c r="E575" s="7" t="str">
        <f t="shared" si="78"/>
        <v>女</v>
      </c>
      <c r="F575" s="7"/>
    </row>
    <row r="576" spans="1:6" ht="30" customHeight="1">
      <c r="A576" s="7">
        <v>574</v>
      </c>
      <c r="B576" s="7" t="str">
        <f>"34542021111915162050836"</f>
        <v>34542021111915162050836</v>
      </c>
      <c r="C576" s="7" t="s">
        <v>17</v>
      </c>
      <c r="D576" s="7" t="str">
        <f>"曾承姣"</f>
        <v>曾承姣</v>
      </c>
      <c r="E576" s="7" t="str">
        <f t="shared" si="78"/>
        <v>女</v>
      </c>
      <c r="F576" s="7"/>
    </row>
    <row r="577" spans="1:6" ht="30" customHeight="1">
      <c r="A577" s="7">
        <v>575</v>
      </c>
      <c r="B577" s="7" t="str">
        <f>"34542021111915211250846"</f>
        <v>34542021111915211250846</v>
      </c>
      <c r="C577" s="7" t="s">
        <v>17</v>
      </c>
      <c r="D577" s="7" t="str">
        <f>"朱多带"</f>
        <v>朱多带</v>
      </c>
      <c r="E577" s="7" t="str">
        <f t="shared" si="78"/>
        <v>女</v>
      </c>
      <c r="F577" s="7"/>
    </row>
    <row r="578" spans="1:6" ht="30" customHeight="1">
      <c r="A578" s="7">
        <v>576</v>
      </c>
      <c r="B578" s="7" t="str">
        <f>"34542021111915251150854"</f>
        <v>34542021111915251150854</v>
      </c>
      <c r="C578" s="7" t="s">
        <v>17</v>
      </c>
      <c r="D578" s="7" t="str">
        <f>"蔡莲春"</f>
        <v>蔡莲春</v>
      </c>
      <c r="E578" s="7" t="str">
        <f t="shared" si="78"/>
        <v>女</v>
      </c>
      <c r="F578" s="7"/>
    </row>
    <row r="579" spans="1:6" ht="30" customHeight="1">
      <c r="A579" s="7">
        <v>577</v>
      </c>
      <c r="B579" s="7" t="str">
        <f>"34542021111915263250855"</f>
        <v>34542021111915263250855</v>
      </c>
      <c r="C579" s="7" t="s">
        <v>17</v>
      </c>
      <c r="D579" s="7" t="str">
        <f>"王神爱"</f>
        <v>王神爱</v>
      </c>
      <c r="E579" s="7" t="str">
        <f t="shared" si="78"/>
        <v>女</v>
      </c>
      <c r="F579" s="7"/>
    </row>
    <row r="580" spans="1:6" ht="30" customHeight="1">
      <c r="A580" s="7">
        <v>578</v>
      </c>
      <c r="B580" s="7" t="str">
        <f>"34542021111915275750856"</f>
        <v>34542021111915275750856</v>
      </c>
      <c r="C580" s="7" t="s">
        <v>17</v>
      </c>
      <c r="D580" s="7" t="str">
        <f>"钟小曼"</f>
        <v>钟小曼</v>
      </c>
      <c r="E580" s="7" t="str">
        <f t="shared" si="78"/>
        <v>女</v>
      </c>
      <c r="F580" s="7"/>
    </row>
    <row r="581" spans="1:6" ht="30" customHeight="1">
      <c r="A581" s="7">
        <v>579</v>
      </c>
      <c r="B581" s="7" t="str">
        <f>"34542021111915293450857"</f>
        <v>34542021111915293450857</v>
      </c>
      <c r="C581" s="7" t="s">
        <v>17</v>
      </c>
      <c r="D581" s="7" t="str">
        <f>"梁美秀"</f>
        <v>梁美秀</v>
      </c>
      <c r="E581" s="7" t="str">
        <f t="shared" si="78"/>
        <v>女</v>
      </c>
      <c r="F581" s="7"/>
    </row>
    <row r="582" spans="1:6" ht="30" customHeight="1">
      <c r="A582" s="7">
        <v>580</v>
      </c>
      <c r="B582" s="7" t="str">
        <f>"34542021111915391450866"</f>
        <v>34542021111915391450866</v>
      </c>
      <c r="C582" s="7" t="s">
        <v>17</v>
      </c>
      <c r="D582" s="7" t="str">
        <f>"许清翠"</f>
        <v>许清翠</v>
      </c>
      <c r="E582" s="7" t="str">
        <f t="shared" si="78"/>
        <v>女</v>
      </c>
      <c r="F582" s="7"/>
    </row>
    <row r="583" spans="1:6" ht="30" customHeight="1">
      <c r="A583" s="7">
        <v>581</v>
      </c>
      <c r="B583" s="7" t="str">
        <f>"34542021111915444350872"</f>
        <v>34542021111915444350872</v>
      </c>
      <c r="C583" s="7" t="s">
        <v>17</v>
      </c>
      <c r="D583" s="7" t="str">
        <f>"麦珊"</f>
        <v>麦珊</v>
      </c>
      <c r="E583" s="7" t="str">
        <f t="shared" si="78"/>
        <v>女</v>
      </c>
      <c r="F583" s="7"/>
    </row>
    <row r="584" spans="1:6" ht="30" customHeight="1">
      <c r="A584" s="7">
        <v>582</v>
      </c>
      <c r="B584" s="7" t="str">
        <f>"34542021111915451650873"</f>
        <v>34542021111915451650873</v>
      </c>
      <c r="C584" s="7" t="s">
        <v>17</v>
      </c>
      <c r="D584" s="7" t="str">
        <f>"薛千花"</f>
        <v>薛千花</v>
      </c>
      <c r="E584" s="7" t="str">
        <f t="shared" si="78"/>
        <v>女</v>
      </c>
      <c r="F584" s="7"/>
    </row>
    <row r="585" spans="1:6" ht="30" customHeight="1">
      <c r="A585" s="7">
        <v>583</v>
      </c>
      <c r="B585" s="7" t="str">
        <f>"34542021111915455750875"</f>
        <v>34542021111915455750875</v>
      </c>
      <c r="C585" s="7" t="s">
        <v>17</v>
      </c>
      <c r="D585" s="7" t="str">
        <f>"吴里曼"</f>
        <v>吴里曼</v>
      </c>
      <c r="E585" s="7" t="str">
        <f t="shared" si="78"/>
        <v>女</v>
      </c>
      <c r="F585" s="7"/>
    </row>
    <row r="586" spans="1:6" ht="30" customHeight="1">
      <c r="A586" s="7">
        <v>584</v>
      </c>
      <c r="B586" s="7" t="str">
        <f>"34542021111915462550877"</f>
        <v>34542021111915462550877</v>
      </c>
      <c r="C586" s="7" t="s">
        <v>17</v>
      </c>
      <c r="D586" s="7" t="str">
        <f>"郭焕花"</f>
        <v>郭焕花</v>
      </c>
      <c r="E586" s="7" t="str">
        <f t="shared" si="78"/>
        <v>女</v>
      </c>
      <c r="F586" s="7"/>
    </row>
    <row r="587" spans="1:6" ht="30" customHeight="1">
      <c r="A587" s="7">
        <v>585</v>
      </c>
      <c r="B587" s="7" t="str">
        <f>"34542021111915474750878"</f>
        <v>34542021111915474750878</v>
      </c>
      <c r="C587" s="7" t="s">
        <v>17</v>
      </c>
      <c r="D587" s="7" t="str">
        <f>"阮允妹"</f>
        <v>阮允妹</v>
      </c>
      <c r="E587" s="7" t="str">
        <f t="shared" si="78"/>
        <v>女</v>
      </c>
      <c r="F587" s="7"/>
    </row>
    <row r="588" spans="1:6" ht="30" customHeight="1">
      <c r="A588" s="7">
        <v>586</v>
      </c>
      <c r="B588" s="7" t="str">
        <f>"34542021111915481550880"</f>
        <v>34542021111915481550880</v>
      </c>
      <c r="C588" s="7" t="s">
        <v>17</v>
      </c>
      <c r="D588" s="7" t="str">
        <f>"曾艳"</f>
        <v>曾艳</v>
      </c>
      <c r="E588" s="7" t="str">
        <f t="shared" si="78"/>
        <v>女</v>
      </c>
      <c r="F588" s="7"/>
    </row>
    <row r="589" spans="1:6" ht="30" customHeight="1">
      <c r="A589" s="7">
        <v>587</v>
      </c>
      <c r="B589" s="7" t="str">
        <f>"34542021111915505050883"</f>
        <v>34542021111915505050883</v>
      </c>
      <c r="C589" s="7" t="s">
        <v>17</v>
      </c>
      <c r="D589" s="7" t="str">
        <f>"林妹"</f>
        <v>林妹</v>
      </c>
      <c r="E589" s="7" t="str">
        <f t="shared" si="78"/>
        <v>女</v>
      </c>
      <c r="F589" s="7"/>
    </row>
    <row r="590" spans="1:6" ht="30" customHeight="1">
      <c r="A590" s="7">
        <v>588</v>
      </c>
      <c r="B590" s="7" t="str">
        <f>"34542021111915523150885"</f>
        <v>34542021111915523150885</v>
      </c>
      <c r="C590" s="7" t="s">
        <v>17</v>
      </c>
      <c r="D590" s="7" t="str">
        <f>"陈星花"</f>
        <v>陈星花</v>
      </c>
      <c r="E590" s="7" t="str">
        <f t="shared" si="78"/>
        <v>女</v>
      </c>
      <c r="F590" s="7"/>
    </row>
    <row r="591" spans="1:6" ht="30" customHeight="1">
      <c r="A591" s="7">
        <v>589</v>
      </c>
      <c r="B591" s="7" t="str">
        <f>"34542021111915552450888"</f>
        <v>34542021111915552450888</v>
      </c>
      <c r="C591" s="7" t="s">
        <v>17</v>
      </c>
      <c r="D591" s="7" t="str">
        <f>"刘海燕"</f>
        <v>刘海燕</v>
      </c>
      <c r="E591" s="7" t="str">
        <f t="shared" si="78"/>
        <v>女</v>
      </c>
      <c r="F591" s="7"/>
    </row>
    <row r="592" spans="1:6" ht="30" customHeight="1">
      <c r="A592" s="7">
        <v>590</v>
      </c>
      <c r="B592" s="7" t="str">
        <f>"34542021111916013350896"</f>
        <v>34542021111916013350896</v>
      </c>
      <c r="C592" s="7" t="s">
        <v>17</v>
      </c>
      <c r="D592" s="7" t="str">
        <f>"麦海蓉"</f>
        <v>麦海蓉</v>
      </c>
      <c r="E592" s="7" t="str">
        <f t="shared" si="78"/>
        <v>女</v>
      </c>
      <c r="F592" s="7"/>
    </row>
    <row r="593" spans="1:6" ht="30" customHeight="1">
      <c r="A593" s="7">
        <v>591</v>
      </c>
      <c r="B593" s="7" t="str">
        <f>"34542021111916014850897"</f>
        <v>34542021111916014850897</v>
      </c>
      <c r="C593" s="7" t="s">
        <v>17</v>
      </c>
      <c r="D593" s="7" t="str">
        <f>"符秋云"</f>
        <v>符秋云</v>
      </c>
      <c r="E593" s="7" t="str">
        <f t="shared" si="78"/>
        <v>女</v>
      </c>
      <c r="F593" s="7"/>
    </row>
    <row r="594" spans="1:6" ht="30" customHeight="1">
      <c r="A594" s="7">
        <v>592</v>
      </c>
      <c r="B594" s="7" t="str">
        <f>"34542021111916033950900"</f>
        <v>34542021111916033950900</v>
      </c>
      <c r="C594" s="7" t="s">
        <v>17</v>
      </c>
      <c r="D594" s="7" t="str">
        <f>"陈道玲"</f>
        <v>陈道玲</v>
      </c>
      <c r="E594" s="7" t="str">
        <f t="shared" si="78"/>
        <v>女</v>
      </c>
      <c r="F594" s="7"/>
    </row>
    <row r="595" spans="1:6" ht="30" customHeight="1">
      <c r="A595" s="7">
        <v>593</v>
      </c>
      <c r="B595" s="7" t="str">
        <f>"34542021111916033950901"</f>
        <v>34542021111916033950901</v>
      </c>
      <c r="C595" s="7" t="s">
        <v>17</v>
      </c>
      <c r="D595" s="7" t="str">
        <f>"许少玲"</f>
        <v>许少玲</v>
      </c>
      <c r="E595" s="7" t="str">
        <f t="shared" si="78"/>
        <v>女</v>
      </c>
      <c r="F595" s="7"/>
    </row>
    <row r="596" spans="1:6" ht="30" customHeight="1">
      <c r="A596" s="7">
        <v>594</v>
      </c>
      <c r="B596" s="7" t="str">
        <f>"34542021111916050450902"</f>
        <v>34542021111916050450902</v>
      </c>
      <c r="C596" s="7" t="s">
        <v>17</v>
      </c>
      <c r="D596" s="7" t="str">
        <f>"林永丹"</f>
        <v>林永丹</v>
      </c>
      <c r="E596" s="7" t="str">
        <f t="shared" si="78"/>
        <v>女</v>
      </c>
      <c r="F596" s="7"/>
    </row>
    <row r="597" spans="1:6" ht="30" customHeight="1">
      <c r="A597" s="7">
        <v>595</v>
      </c>
      <c r="B597" s="7" t="str">
        <f>"34542021111916115750906"</f>
        <v>34542021111916115750906</v>
      </c>
      <c r="C597" s="7" t="s">
        <v>17</v>
      </c>
      <c r="D597" s="7" t="str">
        <f>"何荷花"</f>
        <v>何荷花</v>
      </c>
      <c r="E597" s="7" t="str">
        <f t="shared" si="78"/>
        <v>女</v>
      </c>
      <c r="F597" s="7"/>
    </row>
    <row r="598" spans="1:6" ht="30" customHeight="1">
      <c r="A598" s="7">
        <v>596</v>
      </c>
      <c r="B598" s="7" t="str">
        <f>"34542021111916120150907"</f>
        <v>34542021111916120150907</v>
      </c>
      <c r="C598" s="7" t="s">
        <v>17</v>
      </c>
      <c r="D598" s="7" t="str">
        <f>"赵健慧"</f>
        <v>赵健慧</v>
      </c>
      <c r="E598" s="7" t="str">
        <f t="shared" si="78"/>
        <v>女</v>
      </c>
      <c r="F598" s="7"/>
    </row>
    <row r="599" spans="1:6" ht="30" customHeight="1">
      <c r="A599" s="7">
        <v>597</v>
      </c>
      <c r="B599" s="7" t="str">
        <f>"34542021111916135550909"</f>
        <v>34542021111916135550909</v>
      </c>
      <c r="C599" s="7" t="s">
        <v>17</v>
      </c>
      <c r="D599" s="7" t="str">
        <f>"叶造梅"</f>
        <v>叶造梅</v>
      </c>
      <c r="E599" s="7" t="str">
        <f t="shared" si="78"/>
        <v>女</v>
      </c>
      <c r="F599" s="7"/>
    </row>
    <row r="600" spans="1:6" ht="30" customHeight="1">
      <c r="A600" s="7">
        <v>598</v>
      </c>
      <c r="B600" s="7" t="str">
        <f>"34542021111916140550910"</f>
        <v>34542021111916140550910</v>
      </c>
      <c r="C600" s="7" t="s">
        <v>17</v>
      </c>
      <c r="D600" s="7" t="str">
        <f>"符五丽"</f>
        <v>符五丽</v>
      </c>
      <c r="E600" s="7" t="str">
        <f t="shared" si="78"/>
        <v>女</v>
      </c>
      <c r="F600" s="7"/>
    </row>
    <row r="601" spans="1:6" ht="30" customHeight="1">
      <c r="A601" s="7">
        <v>599</v>
      </c>
      <c r="B601" s="7" t="str">
        <f>"34542021111916154550913"</f>
        <v>34542021111916154550913</v>
      </c>
      <c r="C601" s="7" t="s">
        <v>17</v>
      </c>
      <c r="D601" s="7" t="str">
        <f>"黎日研"</f>
        <v>黎日研</v>
      </c>
      <c r="E601" s="7" t="str">
        <f t="shared" si="78"/>
        <v>女</v>
      </c>
      <c r="F601" s="7"/>
    </row>
    <row r="602" spans="1:6" ht="30" customHeight="1">
      <c r="A602" s="7">
        <v>600</v>
      </c>
      <c r="B602" s="7" t="str">
        <f>"34542021111916174850916"</f>
        <v>34542021111916174850916</v>
      </c>
      <c r="C602" s="7" t="s">
        <v>17</v>
      </c>
      <c r="D602" s="7" t="str">
        <f>"羊斯丹"</f>
        <v>羊斯丹</v>
      </c>
      <c r="E602" s="7" t="str">
        <f t="shared" si="78"/>
        <v>女</v>
      </c>
      <c r="F602" s="7"/>
    </row>
    <row r="603" spans="1:6" ht="30" customHeight="1">
      <c r="A603" s="7">
        <v>601</v>
      </c>
      <c r="B603" s="7" t="str">
        <f>"34542021111916195950918"</f>
        <v>34542021111916195950918</v>
      </c>
      <c r="C603" s="7" t="s">
        <v>17</v>
      </c>
      <c r="D603" s="7" t="str">
        <f>"李丽萍"</f>
        <v>李丽萍</v>
      </c>
      <c r="E603" s="7" t="str">
        <f t="shared" si="78"/>
        <v>女</v>
      </c>
      <c r="F603" s="7"/>
    </row>
    <row r="604" spans="1:6" ht="30" customHeight="1">
      <c r="A604" s="7">
        <v>602</v>
      </c>
      <c r="B604" s="7" t="str">
        <f>"34542021111916214950919"</f>
        <v>34542021111916214950919</v>
      </c>
      <c r="C604" s="7" t="s">
        <v>17</v>
      </c>
      <c r="D604" s="7" t="str">
        <f>"王玉珍"</f>
        <v>王玉珍</v>
      </c>
      <c r="E604" s="7" t="str">
        <f t="shared" si="78"/>
        <v>女</v>
      </c>
      <c r="F604" s="7"/>
    </row>
    <row r="605" spans="1:6" ht="30" customHeight="1">
      <c r="A605" s="7">
        <v>603</v>
      </c>
      <c r="B605" s="7" t="str">
        <f>"34542021111916220750920"</f>
        <v>34542021111916220750920</v>
      </c>
      <c r="C605" s="7" t="s">
        <v>17</v>
      </c>
      <c r="D605" s="7" t="str">
        <f>"许元梅"</f>
        <v>许元梅</v>
      </c>
      <c r="E605" s="7" t="str">
        <f aca="true" t="shared" si="79" ref="E605:E611">"女"</f>
        <v>女</v>
      </c>
      <c r="F605" s="7"/>
    </row>
    <row r="606" spans="1:6" ht="30" customHeight="1">
      <c r="A606" s="7">
        <v>604</v>
      </c>
      <c r="B606" s="7" t="str">
        <f>"34542021111916233550921"</f>
        <v>34542021111916233550921</v>
      </c>
      <c r="C606" s="7" t="s">
        <v>17</v>
      </c>
      <c r="D606" s="7" t="str">
        <f>"谭玲"</f>
        <v>谭玲</v>
      </c>
      <c r="E606" s="7" t="str">
        <f t="shared" si="79"/>
        <v>女</v>
      </c>
      <c r="F606" s="7"/>
    </row>
    <row r="607" spans="1:6" ht="30" customHeight="1">
      <c r="A607" s="7">
        <v>605</v>
      </c>
      <c r="B607" s="7" t="str">
        <f>"34542021111916244550922"</f>
        <v>34542021111916244550922</v>
      </c>
      <c r="C607" s="7" t="s">
        <v>17</v>
      </c>
      <c r="D607" s="7" t="str">
        <f>"陈丽花"</f>
        <v>陈丽花</v>
      </c>
      <c r="E607" s="7" t="str">
        <f t="shared" si="79"/>
        <v>女</v>
      </c>
      <c r="F607" s="7"/>
    </row>
    <row r="608" spans="1:6" ht="30" customHeight="1">
      <c r="A608" s="7">
        <v>606</v>
      </c>
      <c r="B608" s="7" t="str">
        <f>"34542021111916252150923"</f>
        <v>34542021111916252150923</v>
      </c>
      <c r="C608" s="7" t="s">
        <v>17</v>
      </c>
      <c r="D608" s="7" t="str">
        <f>"赵壮霞"</f>
        <v>赵壮霞</v>
      </c>
      <c r="E608" s="7" t="str">
        <f t="shared" si="79"/>
        <v>女</v>
      </c>
      <c r="F608" s="7"/>
    </row>
    <row r="609" spans="1:6" ht="30" customHeight="1">
      <c r="A609" s="7">
        <v>607</v>
      </c>
      <c r="B609" s="7" t="str">
        <f>"34542021111916262850925"</f>
        <v>34542021111916262850925</v>
      </c>
      <c r="C609" s="7" t="s">
        <v>17</v>
      </c>
      <c r="D609" s="7" t="str">
        <f>"李壮椒"</f>
        <v>李壮椒</v>
      </c>
      <c r="E609" s="7" t="str">
        <f t="shared" si="79"/>
        <v>女</v>
      </c>
      <c r="F609" s="7"/>
    </row>
    <row r="610" spans="1:6" ht="30" customHeight="1">
      <c r="A610" s="7">
        <v>608</v>
      </c>
      <c r="B610" s="7" t="str">
        <f>"34542021111916292650928"</f>
        <v>34542021111916292650928</v>
      </c>
      <c r="C610" s="7" t="s">
        <v>17</v>
      </c>
      <c r="D610" s="7" t="str">
        <f>"何秀兰"</f>
        <v>何秀兰</v>
      </c>
      <c r="E610" s="7" t="str">
        <f t="shared" si="79"/>
        <v>女</v>
      </c>
      <c r="F610" s="7"/>
    </row>
    <row r="611" spans="1:6" ht="30" customHeight="1">
      <c r="A611" s="7">
        <v>609</v>
      </c>
      <c r="B611" s="7" t="str">
        <f>"34542021111916302550931"</f>
        <v>34542021111916302550931</v>
      </c>
      <c r="C611" s="7" t="s">
        <v>17</v>
      </c>
      <c r="D611" s="7" t="str">
        <f>"李秀妹"</f>
        <v>李秀妹</v>
      </c>
      <c r="E611" s="7" t="str">
        <f t="shared" si="79"/>
        <v>女</v>
      </c>
      <c r="F611" s="7"/>
    </row>
    <row r="612" spans="1:6" ht="30" customHeight="1">
      <c r="A612" s="7">
        <v>610</v>
      </c>
      <c r="B612" s="7" t="str">
        <f>"34542021111916390550935"</f>
        <v>34542021111916390550935</v>
      </c>
      <c r="C612" s="7" t="s">
        <v>17</v>
      </c>
      <c r="D612" s="7" t="str">
        <f>"何良源"</f>
        <v>何良源</v>
      </c>
      <c r="E612" s="7" t="str">
        <f>"男"</f>
        <v>男</v>
      </c>
      <c r="F612" s="7"/>
    </row>
    <row r="613" spans="1:6" ht="30" customHeight="1">
      <c r="A613" s="7">
        <v>611</v>
      </c>
      <c r="B613" s="7" t="str">
        <f>"34542021111916421350938"</f>
        <v>34542021111916421350938</v>
      </c>
      <c r="C613" s="7" t="s">
        <v>17</v>
      </c>
      <c r="D613" s="7" t="str">
        <f>"李萍"</f>
        <v>李萍</v>
      </c>
      <c r="E613" s="7" t="str">
        <f aca="true" t="shared" si="80" ref="E613:E668">"女"</f>
        <v>女</v>
      </c>
      <c r="F613" s="7"/>
    </row>
    <row r="614" spans="1:6" ht="30" customHeight="1">
      <c r="A614" s="7">
        <v>612</v>
      </c>
      <c r="B614" s="7" t="str">
        <f>"34542021111916422150939"</f>
        <v>34542021111916422150939</v>
      </c>
      <c r="C614" s="7" t="s">
        <v>17</v>
      </c>
      <c r="D614" s="7" t="str">
        <f>"郑乃秋"</f>
        <v>郑乃秋</v>
      </c>
      <c r="E614" s="7" t="str">
        <f t="shared" si="80"/>
        <v>女</v>
      </c>
      <c r="F614" s="7"/>
    </row>
    <row r="615" spans="1:6" ht="30" customHeight="1">
      <c r="A615" s="7">
        <v>613</v>
      </c>
      <c r="B615" s="7" t="str">
        <f>"34542021111916451350941"</f>
        <v>34542021111916451350941</v>
      </c>
      <c r="C615" s="7" t="s">
        <v>17</v>
      </c>
      <c r="D615" s="7" t="str">
        <f>"王多丽"</f>
        <v>王多丽</v>
      </c>
      <c r="E615" s="7" t="str">
        <f t="shared" si="80"/>
        <v>女</v>
      </c>
      <c r="F615" s="7"/>
    </row>
    <row r="616" spans="1:6" ht="30" customHeight="1">
      <c r="A616" s="7">
        <v>614</v>
      </c>
      <c r="B616" s="7" t="str">
        <f>"34542021111916463950943"</f>
        <v>34542021111916463950943</v>
      </c>
      <c r="C616" s="7" t="s">
        <v>17</v>
      </c>
      <c r="D616" s="7" t="str">
        <f>"许艳霞"</f>
        <v>许艳霞</v>
      </c>
      <c r="E616" s="7" t="str">
        <f t="shared" si="80"/>
        <v>女</v>
      </c>
      <c r="F616" s="7"/>
    </row>
    <row r="617" spans="1:6" ht="30" customHeight="1">
      <c r="A617" s="7">
        <v>615</v>
      </c>
      <c r="B617" s="7" t="str">
        <f>"34542021111916520250950"</f>
        <v>34542021111916520250950</v>
      </c>
      <c r="C617" s="7" t="s">
        <v>17</v>
      </c>
      <c r="D617" s="7" t="str">
        <f>"陈冬梅"</f>
        <v>陈冬梅</v>
      </c>
      <c r="E617" s="7" t="str">
        <f t="shared" si="80"/>
        <v>女</v>
      </c>
      <c r="F617" s="7"/>
    </row>
    <row r="618" spans="1:6" ht="30" customHeight="1">
      <c r="A618" s="7">
        <v>616</v>
      </c>
      <c r="B618" s="7" t="str">
        <f>"34542021111916533150952"</f>
        <v>34542021111916533150952</v>
      </c>
      <c r="C618" s="7" t="s">
        <v>17</v>
      </c>
      <c r="D618" s="7" t="str">
        <f>"羊声汝"</f>
        <v>羊声汝</v>
      </c>
      <c r="E618" s="7" t="str">
        <f t="shared" si="80"/>
        <v>女</v>
      </c>
      <c r="F618" s="7"/>
    </row>
    <row r="619" spans="1:6" ht="30" customHeight="1">
      <c r="A619" s="7">
        <v>617</v>
      </c>
      <c r="B619" s="7" t="str">
        <f>"34542021111916572950954"</f>
        <v>34542021111916572950954</v>
      </c>
      <c r="C619" s="7" t="s">
        <v>17</v>
      </c>
      <c r="D619" s="7" t="str">
        <f>"吴风葵"</f>
        <v>吴风葵</v>
      </c>
      <c r="E619" s="7" t="str">
        <f t="shared" si="80"/>
        <v>女</v>
      </c>
      <c r="F619" s="7"/>
    </row>
    <row r="620" spans="1:6" ht="30" customHeight="1">
      <c r="A620" s="7">
        <v>618</v>
      </c>
      <c r="B620" s="7" t="str">
        <f>"34542021111917013550958"</f>
        <v>34542021111917013550958</v>
      </c>
      <c r="C620" s="7" t="s">
        <v>17</v>
      </c>
      <c r="D620" s="7" t="str">
        <f>"曾美乾"</f>
        <v>曾美乾</v>
      </c>
      <c r="E620" s="7" t="str">
        <f t="shared" si="80"/>
        <v>女</v>
      </c>
      <c r="F620" s="7"/>
    </row>
    <row r="621" spans="1:6" ht="30" customHeight="1">
      <c r="A621" s="7">
        <v>619</v>
      </c>
      <c r="B621" s="7" t="str">
        <f>"34542021111917050550960"</f>
        <v>34542021111917050550960</v>
      </c>
      <c r="C621" s="7" t="s">
        <v>17</v>
      </c>
      <c r="D621" s="7" t="str">
        <f>"陈尾春"</f>
        <v>陈尾春</v>
      </c>
      <c r="E621" s="7" t="str">
        <f t="shared" si="80"/>
        <v>女</v>
      </c>
      <c r="F621" s="7"/>
    </row>
    <row r="622" spans="1:6" ht="30" customHeight="1">
      <c r="A622" s="7">
        <v>620</v>
      </c>
      <c r="B622" s="7" t="str">
        <f>"34542021111917061850961"</f>
        <v>34542021111917061850961</v>
      </c>
      <c r="C622" s="7" t="s">
        <v>17</v>
      </c>
      <c r="D622" s="7" t="str">
        <f>"吴晶晶"</f>
        <v>吴晶晶</v>
      </c>
      <c r="E622" s="7" t="str">
        <f t="shared" si="80"/>
        <v>女</v>
      </c>
      <c r="F622" s="7"/>
    </row>
    <row r="623" spans="1:6" ht="30" customHeight="1">
      <c r="A623" s="7">
        <v>621</v>
      </c>
      <c r="B623" s="7" t="str">
        <f>"34542021111917175150964"</f>
        <v>34542021111917175150964</v>
      </c>
      <c r="C623" s="7" t="s">
        <v>17</v>
      </c>
      <c r="D623" s="7" t="str">
        <f>"刘妹妹"</f>
        <v>刘妹妹</v>
      </c>
      <c r="E623" s="7" t="str">
        <f t="shared" si="80"/>
        <v>女</v>
      </c>
      <c r="F623" s="7"/>
    </row>
    <row r="624" spans="1:6" ht="30" customHeight="1">
      <c r="A624" s="7">
        <v>622</v>
      </c>
      <c r="B624" s="7" t="str">
        <f>"34542021111917182850965"</f>
        <v>34542021111917182850965</v>
      </c>
      <c r="C624" s="7" t="s">
        <v>17</v>
      </c>
      <c r="D624" s="7" t="str">
        <f>"符桂祝"</f>
        <v>符桂祝</v>
      </c>
      <c r="E624" s="7" t="str">
        <f t="shared" si="80"/>
        <v>女</v>
      </c>
      <c r="F624" s="7"/>
    </row>
    <row r="625" spans="1:6" ht="30" customHeight="1">
      <c r="A625" s="7">
        <v>623</v>
      </c>
      <c r="B625" s="7" t="str">
        <f>"34542021111917211550969"</f>
        <v>34542021111917211550969</v>
      </c>
      <c r="C625" s="7" t="s">
        <v>17</v>
      </c>
      <c r="D625" s="7" t="str">
        <f>"曾伟丹"</f>
        <v>曾伟丹</v>
      </c>
      <c r="E625" s="7" t="str">
        <f t="shared" si="80"/>
        <v>女</v>
      </c>
      <c r="F625" s="7"/>
    </row>
    <row r="626" spans="1:6" ht="30" customHeight="1">
      <c r="A626" s="7">
        <v>624</v>
      </c>
      <c r="B626" s="7" t="str">
        <f>"34542021111917272450971"</f>
        <v>34542021111917272450971</v>
      </c>
      <c r="C626" s="7" t="s">
        <v>17</v>
      </c>
      <c r="D626" s="7" t="str">
        <f>"郭木花"</f>
        <v>郭木花</v>
      </c>
      <c r="E626" s="7" t="str">
        <f t="shared" si="80"/>
        <v>女</v>
      </c>
      <c r="F626" s="7"/>
    </row>
    <row r="627" spans="1:6" ht="30" customHeight="1">
      <c r="A627" s="7">
        <v>625</v>
      </c>
      <c r="B627" s="7" t="str">
        <f>"34542021111917362950973"</f>
        <v>34542021111917362950973</v>
      </c>
      <c r="C627" s="7" t="s">
        <v>17</v>
      </c>
      <c r="D627" s="7" t="str">
        <f>"李美玉"</f>
        <v>李美玉</v>
      </c>
      <c r="E627" s="7" t="str">
        <f t="shared" si="80"/>
        <v>女</v>
      </c>
      <c r="F627" s="7"/>
    </row>
    <row r="628" spans="1:6" ht="30" customHeight="1">
      <c r="A628" s="7">
        <v>626</v>
      </c>
      <c r="B628" s="7" t="str">
        <f>"34542021111917421750974"</f>
        <v>34542021111917421750974</v>
      </c>
      <c r="C628" s="7" t="s">
        <v>17</v>
      </c>
      <c r="D628" s="7" t="str">
        <f>"朱文秋"</f>
        <v>朱文秋</v>
      </c>
      <c r="E628" s="7" t="str">
        <f t="shared" si="80"/>
        <v>女</v>
      </c>
      <c r="F628" s="7"/>
    </row>
    <row r="629" spans="1:6" ht="30" customHeight="1">
      <c r="A629" s="7">
        <v>627</v>
      </c>
      <c r="B629" s="7" t="str">
        <f>"34542021111917465150977"</f>
        <v>34542021111917465150977</v>
      </c>
      <c r="C629" s="7" t="s">
        <v>17</v>
      </c>
      <c r="D629" s="7" t="str">
        <f>"洪彩如"</f>
        <v>洪彩如</v>
      </c>
      <c r="E629" s="7" t="str">
        <f t="shared" si="80"/>
        <v>女</v>
      </c>
      <c r="F629" s="7"/>
    </row>
    <row r="630" spans="1:6" ht="30" customHeight="1">
      <c r="A630" s="7">
        <v>628</v>
      </c>
      <c r="B630" s="7" t="str">
        <f>"34542021111917475250978"</f>
        <v>34542021111917475250978</v>
      </c>
      <c r="C630" s="7" t="s">
        <v>17</v>
      </c>
      <c r="D630" s="7" t="str">
        <f>"杨金连"</f>
        <v>杨金连</v>
      </c>
      <c r="E630" s="7" t="str">
        <f t="shared" si="80"/>
        <v>女</v>
      </c>
      <c r="F630" s="7"/>
    </row>
    <row r="631" spans="1:6" ht="30" customHeight="1">
      <c r="A631" s="7">
        <v>629</v>
      </c>
      <c r="B631" s="7" t="str">
        <f>"34542021111917482250979"</f>
        <v>34542021111917482250979</v>
      </c>
      <c r="C631" s="7" t="s">
        <v>17</v>
      </c>
      <c r="D631" s="7" t="str">
        <f>"符仙花"</f>
        <v>符仙花</v>
      </c>
      <c r="E631" s="7" t="str">
        <f t="shared" si="80"/>
        <v>女</v>
      </c>
      <c r="F631" s="7"/>
    </row>
    <row r="632" spans="1:6" ht="30" customHeight="1">
      <c r="A632" s="7">
        <v>630</v>
      </c>
      <c r="B632" s="7" t="str">
        <f>"34542021111917552950980"</f>
        <v>34542021111917552950980</v>
      </c>
      <c r="C632" s="7" t="s">
        <v>17</v>
      </c>
      <c r="D632" s="7" t="str">
        <f>"薛成女"</f>
        <v>薛成女</v>
      </c>
      <c r="E632" s="7" t="str">
        <f t="shared" si="80"/>
        <v>女</v>
      </c>
      <c r="F632" s="7"/>
    </row>
    <row r="633" spans="1:6" ht="30" customHeight="1">
      <c r="A633" s="7">
        <v>631</v>
      </c>
      <c r="B633" s="7" t="str">
        <f>"34542021111918003650981"</f>
        <v>34542021111918003650981</v>
      </c>
      <c r="C633" s="7" t="s">
        <v>17</v>
      </c>
      <c r="D633" s="7" t="str">
        <f>"羊金怀"</f>
        <v>羊金怀</v>
      </c>
      <c r="E633" s="7" t="str">
        <f t="shared" si="80"/>
        <v>女</v>
      </c>
      <c r="F633" s="7"/>
    </row>
    <row r="634" spans="1:6" ht="30" customHeight="1">
      <c r="A634" s="7">
        <v>632</v>
      </c>
      <c r="B634" s="7" t="str">
        <f>"34542021111918060350982"</f>
        <v>34542021111918060350982</v>
      </c>
      <c r="C634" s="7" t="s">
        <v>17</v>
      </c>
      <c r="D634" s="7" t="str">
        <f>"李允香"</f>
        <v>李允香</v>
      </c>
      <c r="E634" s="7" t="str">
        <f t="shared" si="80"/>
        <v>女</v>
      </c>
      <c r="F634" s="7"/>
    </row>
    <row r="635" spans="1:6" ht="30" customHeight="1">
      <c r="A635" s="7">
        <v>633</v>
      </c>
      <c r="B635" s="7" t="str">
        <f>"34542021111918060550983"</f>
        <v>34542021111918060550983</v>
      </c>
      <c r="C635" s="7" t="s">
        <v>17</v>
      </c>
      <c r="D635" s="7" t="str">
        <f>"王美娇"</f>
        <v>王美娇</v>
      </c>
      <c r="E635" s="7" t="str">
        <f t="shared" si="80"/>
        <v>女</v>
      </c>
      <c r="F635" s="7"/>
    </row>
    <row r="636" spans="1:6" ht="30" customHeight="1">
      <c r="A636" s="7">
        <v>634</v>
      </c>
      <c r="B636" s="7" t="str">
        <f>"34542021111918123950985"</f>
        <v>34542021111918123950985</v>
      </c>
      <c r="C636" s="7" t="s">
        <v>17</v>
      </c>
      <c r="D636" s="7" t="str">
        <f>"张丽艳"</f>
        <v>张丽艳</v>
      </c>
      <c r="E636" s="7" t="str">
        <f t="shared" si="80"/>
        <v>女</v>
      </c>
      <c r="F636" s="7"/>
    </row>
    <row r="637" spans="1:6" ht="30" customHeight="1">
      <c r="A637" s="7">
        <v>635</v>
      </c>
      <c r="B637" s="7" t="str">
        <f>"34542021111918294150987"</f>
        <v>34542021111918294150987</v>
      </c>
      <c r="C637" s="7" t="s">
        <v>17</v>
      </c>
      <c r="D637" s="7" t="str">
        <f>"王有玲"</f>
        <v>王有玲</v>
      </c>
      <c r="E637" s="7" t="str">
        <f t="shared" si="80"/>
        <v>女</v>
      </c>
      <c r="F637" s="7"/>
    </row>
    <row r="638" spans="1:6" ht="30" customHeight="1">
      <c r="A638" s="7">
        <v>636</v>
      </c>
      <c r="B638" s="7" t="str">
        <f>"34542021111918313750989"</f>
        <v>34542021111918313750989</v>
      </c>
      <c r="C638" s="7" t="s">
        <v>17</v>
      </c>
      <c r="D638" s="7" t="str">
        <f>"刘上秀"</f>
        <v>刘上秀</v>
      </c>
      <c r="E638" s="7" t="str">
        <f t="shared" si="80"/>
        <v>女</v>
      </c>
      <c r="F638" s="7"/>
    </row>
    <row r="639" spans="1:6" ht="30" customHeight="1">
      <c r="A639" s="7">
        <v>637</v>
      </c>
      <c r="B639" s="7" t="str">
        <f>"34542021111918414350990"</f>
        <v>34542021111918414350990</v>
      </c>
      <c r="C639" s="7" t="s">
        <v>17</v>
      </c>
      <c r="D639" s="7" t="str">
        <f>"李珍莲"</f>
        <v>李珍莲</v>
      </c>
      <c r="E639" s="7" t="str">
        <f t="shared" si="80"/>
        <v>女</v>
      </c>
      <c r="F639" s="7"/>
    </row>
    <row r="640" spans="1:6" ht="30" customHeight="1">
      <c r="A640" s="7">
        <v>638</v>
      </c>
      <c r="B640" s="7" t="str">
        <f>"34542021111918433350991"</f>
        <v>34542021111918433350991</v>
      </c>
      <c r="C640" s="7" t="s">
        <v>17</v>
      </c>
      <c r="D640" s="7" t="str">
        <f>"陈春兰"</f>
        <v>陈春兰</v>
      </c>
      <c r="E640" s="7" t="str">
        <f t="shared" si="80"/>
        <v>女</v>
      </c>
      <c r="F640" s="7"/>
    </row>
    <row r="641" spans="1:6" ht="30" customHeight="1">
      <c r="A641" s="7">
        <v>639</v>
      </c>
      <c r="B641" s="7" t="str">
        <f>"34542021111918584951000"</f>
        <v>34542021111918584951000</v>
      </c>
      <c r="C641" s="7" t="s">
        <v>17</v>
      </c>
      <c r="D641" s="7" t="str">
        <f>"郭春皎"</f>
        <v>郭春皎</v>
      </c>
      <c r="E641" s="7" t="str">
        <f t="shared" si="80"/>
        <v>女</v>
      </c>
      <c r="F641" s="7"/>
    </row>
    <row r="642" spans="1:6" ht="30" customHeight="1">
      <c r="A642" s="7">
        <v>640</v>
      </c>
      <c r="B642" s="7" t="str">
        <f>"34542021111918590351001"</f>
        <v>34542021111918590351001</v>
      </c>
      <c r="C642" s="7" t="s">
        <v>17</v>
      </c>
      <c r="D642" s="7" t="str">
        <f>"朱兰花"</f>
        <v>朱兰花</v>
      </c>
      <c r="E642" s="7" t="str">
        <f t="shared" si="80"/>
        <v>女</v>
      </c>
      <c r="F642" s="7"/>
    </row>
    <row r="643" spans="1:6" ht="30" customHeight="1">
      <c r="A643" s="7">
        <v>641</v>
      </c>
      <c r="B643" s="7" t="str">
        <f>"34542021111919054751003"</f>
        <v>34542021111919054751003</v>
      </c>
      <c r="C643" s="7" t="s">
        <v>17</v>
      </c>
      <c r="D643" s="7" t="str">
        <f>"郭土爱"</f>
        <v>郭土爱</v>
      </c>
      <c r="E643" s="7" t="str">
        <f t="shared" si="80"/>
        <v>女</v>
      </c>
      <c r="F643" s="7"/>
    </row>
    <row r="644" spans="1:6" ht="30" customHeight="1">
      <c r="A644" s="7">
        <v>642</v>
      </c>
      <c r="B644" s="7" t="str">
        <f>"34542021111919112651007"</f>
        <v>34542021111919112651007</v>
      </c>
      <c r="C644" s="7" t="s">
        <v>17</v>
      </c>
      <c r="D644" s="7" t="str">
        <f>"谢昌花"</f>
        <v>谢昌花</v>
      </c>
      <c r="E644" s="7" t="str">
        <f t="shared" si="80"/>
        <v>女</v>
      </c>
      <c r="F644" s="7"/>
    </row>
    <row r="645" spans="1:6" ht="30" customHeight="1">
      <c r="A645" s="7">
        <v>643</v>
      </c>
      <c r="B645" s="7" t="str">
        <f>"34542021111919115151008"</f>
        <v>34542021111919115151008</v>
      </c>
      <c r="C645" s="7" t="s">
        <v>17</v>
      </c>
      <c r="D645" s="7" t="str">
        <f>"颜玉涓"</f>
        <v>颜玉涓</v>
      </c>
      <c r="E645" s="7" t="str">
        <f t="shared" si="80"/>
        <v>女</v>
      </c>
      <c r="F645" s="7"/>
    </row>
    <row r="646" spans="1:6" ht="30" customHeight="1">
      <c r="A646" s="7">
        <v>644</v>
      </c>
      <c r="B646" s="7" t="str">
        <f>"34542021111919122451009"</f>
        <v>34542021111919122451009</v>
      </c>
      <c r="C646" s="7" t="s">
        <v>17</v>
      </c>
      <c r="D646" s="7" t="str">
        <f>"吴沁平"</f>
        <v>吴沁平</v>
      </c>
      <c r="E646" s="7" t="str">
        <f t="shared" si="80"/>
        <v>女</v>
      </c>
      <c r="F646" s="7"/>
    </row>
    <row r="647" spans="1:6" ht="30" customHeight="1">
      <c r="A647" s="7">
        <v>645</v>
      </c>
      <c r="B647" s="7" t="str">
        <f>"34542021111919132451010"</f>
        <v>34542021111919132451010</v>
      </c>
      <c r="C647" s="7" t="s">
        <v>17</v>
      </c>
      <c r="D647" s="7" t="str">
        <f>"李美逢"</f>
        <v>李美逢</v>
      </c>
      <c r="E647" s="7" t="str">
        <f t="shared" si="80"/>
        <v>女</v>
      </c>
      <c r="F647" s="7"/>
    </row>
    <row r="648" spans="1:6" ht="30" customHeight="1">
      <c r="A648" s="7">
        <v>646</v>
      </c>
      <c r="B648" s="7" t="str">
        <f>"34542021111919181051014"</f>
        <v>34542021111919181051014</v>
      </c>
      <c r="C648" s="7" t="s">
        <v>17</v>
      </c>
      <c r="D648" s="7" t="str">
        <f>"郑彩娟"</f>
        <v>郑彩娟</v>
      </c>
      <c r="E648" s="7" t="str">
        <f t="shared" si="80"/>
        <v>女</v>
      </c>
      <c r="F648" s="7"/>
    </row>
    <row r="649" spans="1:6" ht="30" customHeight="1">
      <c r="A649" s="7">
        <v>647</v>
      </c>
      <c r="B649" s="7" t="str">
        <f>"34542021111919335051020"</f>
        <v>34542021111919335051020</v>
      </c>
      <c r="C649" s="7" t="s">
        <v>17</v>
      </c>
      <c r="D649" s="7" t="str">
        <f>"朱秀梅"</f>
        <v>朱秀梅</v>
      </c>
      <c r="E649" s="7" t="str">
        <f t="shared" si="80"/>
        <v>女</v>
      </c>
      <c r="F649" s="7"/>
    </row>
    <row r="650" spans="1:6" ht="30" customHeight="1">
      <c r="A650" s="7">
        <v>648</v>
      </c>
      <c r="B650" s="7" t="str">
        <f>"34542021111919364851022"</f>
        <v>34542021111919364851022</v>
      </c>
      <c r="C650" s="7" t="s">
        <v>17</v>
      </c>
      <c r="D650" s="7" t="str">
        <f>"符蓉"</f>
        <v>符蓉</v>
      </c>
      <c r="E650" s="7" t="str">
        <f t="shared" si="80"/>
        <v>女</v>
      </c>
      <c r="F650" s="7"/>
    </row>
    <row r="651" spans="1:6" ht="30" customHeight="1">
      <c r="A651" s="7">
        <v>649</v>
      </c>
      <c r="B651" s="7" t="str">
        <f>"34542021111919374151023"</f>
        <v>34542021111919374151023</v>
      </c>
      <c r="C651" s="7" t="s">
        <v>17</v>
      </c>
      <c r="D651" s="7" t="str">
        <f>"林乖乖"</f>
        <v>林乖乖</v>
      </c>
      <c r="E651" s="7" t="str">
        <f t="shared" si="80"/>
        <v>女</v>
      </c>
      <c r="F651" s="7"/>
    </row>
    <row r="652" spans="1:6" ht="30" customHeight="1">
      <c r="A652" s="7">
        <v>650</v>
      </c>
      <c r="B652" s="7" t="str">
        <f>"34542021111919484251029"</f>
        <v>34542021111919484251029</v>
      </c>
      <c r="C652" s="7" t="s">
        <v>17</v>
      </c>
      <c r="D652" s="7" t="str">
        <f>"李慧敏"</f>
        <v>李慧敏</v>
      </c>
      <c r="E652" s="7" t="str">
        <f t="shared" si="80"/>
        <v>女</v>
      </c>
      <c r="F652" s="7"/>
    </row>
    <row r="653" spans="1:6" ht="30" customHeight="1">
      <c r="A653" s="7">
        <v>651</v>
      </c>
      <c r="B653" s="7" t="str">
        <f>"34542021111919510751030"</f>
        <v>34542021111919510751030</v>
      </c>
      <c r="C653" s="7" t="s">
        <v>17</v>
      </c>
      <c r="D653" s="7" t="str">
        <f>"李乃秀"</f>
        <v>李乃秀</v>
      </c>
      <c r="E653" s="7" t="str">
        <f t="shared" si="80"/>
        <v>女</v>
      </c>
      <c r="F653" s="7"/>
    </row>
    <row r="654" spans="1:6" ht="30" customHeight="1">
      <c r="A654" s="7">
        <v>652</v>
      </c>
      <c r="B654" s="7" t="str">
        <f>"34542021111920060951038"</f>
        <v>34542021111920060951038</v>
      </c>
      <c r="C654" s="7" t="s">
        <v>17</v>
      </c>
      <c r="D654" s="7" t="str">
        <f>"钟绮虹"</f>
        <v>钟绮虹</v>
      </c>
      <c r="E654" s="7" t="str">
        <f t="shared" si="80"/>
        <v>女</v>
      </c>
      <c r="F654" s="7"/>
    </row>
    <row r="655" spans="1:6" ht="30" customHeight="1">
      <c r="A655" s="7">
        <v>653</v>
      </c>
      <c r="B655" s="7" t="str">
        <f>"34542021111920150951040"</f>
        <v>34542021111920150951040</v>
      </c>
      <c r="C655" s="7" t="s">
        <v>17</v>
      </c>
      <c r="D655" s="7" t="str">
        <f>"李美莲"</f>
        <v>李美莲</v>
      </c>
      <c r="E655" s="7" t="str">
        <f t="shared" si="80"/>
        <v>女</v>
      </c>
      <c r="F655" s="7"/>
    </row>
    <row r="656" spans="1:6" ht="30" customHeight="1">
      <c r="A656" s="7">
        <v>654</v>
      </c>
      <c r="B656" s="7" t="str">
        <f>"34542021111920231251044"</f>
        <v>34542021111920231251044</v>
      </c>
      <c r="C656" s="7" t="s">
        <v>17</v>
      </c>
      <c r="D656" s="7" t="str">
        <f>"钟庆娟"</f>
        <v>钟庆娟</v>
      </c>
      <c r="E656" s="7" t="str">
        <f t="shared" si="80"/>
        <v>女</v>
      </c>
      <c r="F656" s="7"/>
    </row>
    <row r="657" spans="1:6" ht="30" customHeight="1">
      <c r="A657" s="7">
        <v>655</v>
      </c>
      <c r="B657" s="7" t="str">
        <f>"34542021111920282451045"</f>
        <v>34542021111920282451045</v>
      </c>
      <c r="C657" s="7" t="s">
        <v>17</v>
      </c>
      <c r="D657" s="7" t="str">
        <f>"李杏兰"</f>
        <v>李杏兰</v>
      </c>
      <c r="E657" s="7" t="str">
        <f t="shared" si="80"/>
        <v>女</v>
      </c>
      <c r="F657" s="7"/>
    </row>
    <row r="658" spans="1:6" ht="30" customHeight="1">
      <c r="A658" s="7">
        <v>656</v>
      </c>
      <c r="B658" s="7" t="str">
        <f>"34542021111920283651046"</f>
        <v>34542021111920283651046</v>
      </c>
      <c r="C658" s="7" t="s">
        <v>17</v>
      </c>
      <c r="D658" s="7" t="str">
        <f>"麦燕妃"</f>
        <v>麦燕妃</v>
      </c>
      <c r="E658" s="7" t="str">
        <f t="shared" si="80"/>
        <v>女</v>
      </c>
      <c r="F658" s="7"/>
    </row>
    <row r="659" spans="1:6" ht="30" customHeight="1">
      <c r="A659" s="7">
        <v>657</v>
      </c>
      <c r="B659" s="7" t="str">
        <f>"34542021111920304251050"</f>
        <v>34542021111920304251050</v>
      </c>
      <c r="C659" s="7" t="s">
        <v>17</v>
      </c>
      <c r="D659" s="7" t="str">
        <f>"郑方灵"</f>
        <v>郑方灵</v>
      </c>
      <c r="E659" s="7" t="str">
        <f t="shared" si="80"/>
        <v>女</v>
      </c>
      <c r="F659" s="7"/>
    </row>
    <row r="660" spans="1:6" ht="30" customHeight="1">
      <c r="A660" s="7">
        <v>658</v>
      </c>
      <c r="B660" s="7" t="str">
        <f>"34542021111920312651051"</f>
        <v>34542021111920312651051</v>
      </c>
      <c r="C660" s="7" t="s">
        <v>17</v>
      </c>
      <c r="D660" s="7" t="str">
        <f>"张玉桃"</f>
        <v>张玉桃</v>
      </c>
      <c r="E660" s="7" t="str">
        <f t="shared" si="80"/>
        <v>女</v>
      </c>
      <c r="F660" s="7"/>
    </row>
    <row r="661" spans="1:6" ht="30" customHeight="1">
      <c r="A661" s="7">
        <v>659</v>
      </c>
      <c r="B661" s="7" t="str">
        <f>"34542021111920313151052"</f>
        <v>34542021111920313151052</v>
      </c>
      <c r="C661" s="7" t="s">
        <v>17</v>
      </c>
      <c r="D661" s="7" t="str">
        <f>"赵壮带"</f>
        <v>赵壮带</v>
      </c>
      <c r="E661" s="7" t="str">
        <f t="shared" si="80"/>
        <v>女</v>
      </c>
      <c r="F661" s="7"/>
    </row>
    <row r="662" spans="1:6" ht="30" customHeight="1">
      <c r="A662" s="7">
        <v>660</v>
      </c>
      <c r="B662" s="7" t="str">
        <f>"34542021111920381051053"</f>
        <v>34542021111920381051053</v>
      </c>
      <c r="C662" s="7" t="s">
        <v>17</v>
      </c>
      <c r="D662" s="7" t="str">
        <f>"李文妍"</f>
        <v>李文妍</v>
      </c>
      <c r="E662" s="7" t="str">
        <f t="shared" si="80"/>
        <v>女</v>
      </c>
      <c r="F662" s="7"/>
    </row>
    <row r="663" spans="1:6" ht="30" customHeight="1">
      <c r="A663" s="7">
        <v>661</v>
      </c>
      <c r="B663" s="7" t="str">
        <f>"34542021111920395351054"</f>
        <v>34542021111920395351054</v>
      </c>
      <c r="C663" s="7" t="s">
        <v>17</v>
      </c>
      <c r="D663" s="7" t="str">
        <f>"陈娇乾"</f>
        <v>陈娇乾</v>
      </c>
      <c r="E663" s="7" t="str">
        <f t="shared" si="80"/>
        <v>女</v>
      </c>
      <c r="F663" s="7"/>
    </row>
    <row r="664" spans="1:6" ht="30" customHeight="1">
      <c r="A664" s="7">
        <v>662</v>
      </c>
      <c r="B664" s="7" t="str">
        <f>"34542021111920414051056"</f>
        <v>34542021111920414051056</v>
      </c>
      <c r="C664" s="7" t="s">
        <v>17</v>
      </c>
      <c r="D664" s="7" t="str">
        <f>"李有汝"</f>
        <v>李有汝</v>
      </c>
      <c r="E664" s="7" t="str">
        <f t="shared" si="80"/>
        <v>女</v>
      </c>
      <c r="F664" s="7"/>
    </row>
    <row r="665" spans="1:6" ht="30" customHeight="1">
      <c r="A665" s="7">
        <v>663</v>
      </c>
      <c r="B665" s="7" t="str">
        <f>"34542021111920415151057"</f>
        <v>34542021111920415151057</v>
      </c>
      <c r="C665" s="7" t="s">
        <v>17</v>
      </c>
      <c r="D665" s="7" t="str">
        <f>"陈永艳"</f>
        <v>陈永艳</v>
      </c>
      <c r="E665" s="7" t="str">
        <f t="shared" si="80"/>
        <v>女</v>
      </c>
      <c r="F665" s="7"/>
    </row>
    <row r="666" spans="1:6" ht="30" customHeight="1">
      <c r="A666" s="7">
        <v>664</v>
      </c>
      <c r="B666" s="7" t="str">
        <f>"34542021111920511251061"</f>
        <v>34542021111920511251061</v>
      </c>
      <c r="C666" s="7" t="s">
        <v>17</v>
      </c>
      <c r="D666" s="7" t="str">
        <f>"郭兰秋"</f>
        <v>郭兰秋</v>
      </c>
      <c r="E666" s="7" t="str">
        <f t="shared" si="80"/>
        <v>女</v>
      </c>
      <c r="F666" s="7"/>
    </row>
    <row r="667" spans="1:6" ht="30" customHeight="1">
      <c r="A667" s="7">
        <v>665</v>
      </c>
      <c r="B667" s="7" t="str">
        <f>"34542021111920515351062"</f>
        <v>34542021111920515351062</v>
      </c>
      <c r="C667" s="7" t="s">
        <v>17</v>
      </c>
      <c r="D667" s="7" t="str">
        <f>"陈子亿"</f>
        <v>陈子亿</v>
      </c>
      <c r="E667" s="7" t="str">
        <f t="shared" si="80"/>
        <v>女</v>
      </c>
      <c r="F667" s="7"/>
    </row>
    <row r="668" spans="1:6" ht="30" customHeight="1">
      <c r="A668" s="7">
        <v>666</v>
      </c>
      <c r="B668" s="7" t="str">
        <f>"34542021111921025151065"</f>
        <v>34542021111921025151065</v>
      </c>
      <c r="C668" s="7" t="s">
        <v>17</v>
      </c>
      <c r="D668" s="7" t="str">
        <f>"刘淑静"</f>
        <v>刘淑静</v>
      </c>
      <c r="E668" s="7" t="str">
        <f t="shared" si="80"/>
        <v>女</v>
      </c>
      <c r="F668" s="7"/>
    </row>
    <row r="669" spans="1:6" ht="30" customHeight="1">
      <c r="A669" s="7">
        <v>667</v>
      </c>
      <c r="B669" s="7" t="str">
        <f>"34542021111921030851066"</f>
        <v>34542021111921030851066</v>
      </c>
      <c r="C669" s="7" t="s">
        <v>17</v>
      </c>
      <c r="D669" s="7" t="str">
        <f>"骆骅"</f>
        <v>骆骅</v>
      </c>
      <c r="E669" s="7" t="str">
        <f>"男"</f>
        <v>男</v>
      </c>
      <c r="F669" s="7"/>
    </row>
    <row r="670" spans="1:6" ht="30" customHeight="1">
      <c r="A670" s="7">
        <v>668</v>
      </c>
      <c r="B670" s="7" t="str">
        <f>"34542021111921032851067"</f>
        <v>34542021111921032851067</v>
      </c>
      <c r="C670" s="7" t="s">
        <v>17</v>
      </c>
      <c r="D670" s="7" t="str">
        <f>"廖美元"</f>
        <v>廖美元</v>
      </c>
      <c r="E670" s="7" t="str">
        <f aca="true" t="shared" si="81" ref="E670:E695">"女"</f>
        <v>女</v>
      </c>
      <c r="F670" s="7"/>
    </row>
    <row r="671" spans="1:6" ht="30" customHeight="1">
      <c r="A671" s="7">
        <v>669</v>
      </c>
      <c r="B671" s="7" t="str">
        <f>"34542021111921053751069"</f>
        <v>34542021111921053751069</v>
      </c>
      <c r="C671" s="7" t="s">
        <v>17</v>
      </c>
      <c r="D671" s="7" t="str">
        <f>"郑柳妹"</f>
        <v>郑柳妹</v>
      </c>
      <c r="E671" s="7" t="str">
        <f t="shared" si="81"/>
        <v>女</v>
      </c>
      <c r="F671" s="7"/>
    </row>
    <row r="672" spans="1:6" ht="30" customHeight="1">
      <c r="A672" s="7">
        <v>670</v>
      </c>
      <c r="B672" s="7" t="str">
        <f>"34542021111921092551071"</f>
        <v>34542021111921092551071</v>
      </c>
      <c r="C672" s="7" t="s">
        <v>17</v>
      </c>
      <c r="D672" s="7" t="str">
        <f>"陈雅"</f>
        <v>陈雅</v>
      </c>
      <c r="E672" s="7" t="str">
        <f t="shared" si="81"/>
        <v>女</v>
      </c>
      <c r="F672" s="7"/>
    </row>
    <row r="673" spans="1:6" ht="30" customHeight="1">
      <c r="A673" s="7">
        <v>671</v>
      </c>
      <c r="B673" s="7" t="str">
        <f>"34542021111921093451072"</f>
        <v>34542021111921093451072</v>
      </c>
      <c r="C673" s="7" t="s">
        <v>17</v>
      </c>
      <c r="D673" s="7" t="str">
        <f>"钟佳晓"</f>
        <v>钟佳晓</v>
      </c>
      <c r="E673" s="7" t="str">
        <f t="shared" si="81"/>
        <v>女</v>
      </c>
      <c r="F673" s="7"/>
    </row>
    <row r="674" spans="1:6" ht="30" customHeight="1">
      <c r="A674" s="7">
        <v>672</v>
      </c>
      <c r="B674" s="7" t="str">
        <f>"34542021111921111451075"</f>
        <v>34542021111921111451075</v>
      </c>
      <c r="C674" s="7" t="s">
        <v>17</v>
      </c>
      <c r="D674" s="7" t="str">
        <f>"王秀花"</f>
        <v>王秀花</v>
      </c>
      <c r="E674" s="7" t="str">
        <f t="shared" si="81"/>
        <v>女</v>
      </c>
      <c r="F674" s="7"/>
    </row>
    <row r="675" spans="1:6" ht="30" customHeight="1">
      <c r="A675" s="7">
        <v>673</v>
      </c>
      <c r="B675" s="7" t="str">
        <f>"34542021111921121651076"</f>
        <v>34542021111921121651076</v>
      </c>
      <c r="C675" s="7" t="s">
        <v>17</v>
      </c>
      <c r="D675" s="7" t="str">
        <f>"曾承莲"</f>
        <v>曾承莲</v>
      </c>
      <c r="E675" s="7" t="str">
        <f t="shared" si="81"/>
        <v>女</v>
      </c>
      <c r="F675" s="7"/>
    </row>
    <row r="676" spans="1:6" ht="30" customHeight="1">
      <c r="A676" s="7">
        <v>674</v>
      </c>
      <c r="B676" s="7" t="str">
        <f>"34542021111921212551080"</f>
        <v>34542021111921212551080</v>
      </c>
      <c r="C676" s="7" t="s">
        <v>17</v>
      </c>
      <c r="D676" s="7" t="str">
        <f>"王井梅"</f>
        <v>王井梅</v>
      </c>
      <c r="E676" s="7" t="str">
        <f t="shared" si="81"/>
        <v>女</v>
      </c>
      <c r="F676" s="7"/>
    </row>
    <row r="677" spans="1:6" ht="30" customHeight="1">
      <c r="A677" s="7">
        <v>675</v>
      </c>
      <c r="B677" s="7" t="str">
        <f>"34542021111921254951083"</f>
        <v>34542021111921254951083</v>
      </c>
      <c r="C677" s="7" t="s">
        <v>17</v>
      </c>
      <c r="D677" s="7" t="str">
        <f>"李永丹"</f>
        <v>李永丹</v>
      </c>
      <c r="E677" s="7" t="str">
        <f t="shared" si="81"/>
        <v>女</v>
      </c>
      <c r="F677" s="7"/>
    </row>
    <row r="678" spans="1:6" ht="30" customHeight="1">
      <c r="A678" s="7">
        <v>676</v>
      </c>
      <c r="B678" s="7" t="str">
        <f>"34542021111921260051084"</f>
        <v>34542021111921260051084</v>
      </c>
      <c r="C678" s="7" t="s">
        <v>17</v>
      </c>
      <c r="D678" s="7" t="str">
        <f>"张惠芳"</f>
        <v>张惠芳</v>
      </c>
      <c r="E678" s="7" t="str">
        <f t="shared" si="81"/>
        <v>女</v>
      </c>
      <c r="F678" s="7"/>
    </row>
    <row r="679" spans="1:6" ht="30" customHeight="1">
      <c r="A679" s="7">
        <v>677</v>
      </c>
      <c r="B679" s="7" t="str">
        <f>"34542021111921314651087"</f>
        <v>34542021111921314651087</v>
      </c>
      <c r="C679" s="7" t="s">
        <v>17</v>
      </c>
      <c r="D679" s="7" t="str">
        <f>"谢卓菊"</f>
        <v>谢卓菊</v>
      </c>
      <c r="E679" s="7" t="str">
        <f t="shared" si="81"/>
        <v>女</v>
      </c>
      <c r="F679" s="7"/>
    </row>
    <row r="680" spans="1:6" ht="30" customHeight="1">
      <c r="A680" s="7">
        <v>678</v>
      </c>
      <c r="B680" s="7" t="str">
        <f>"34542021111921360251090"</f>
        <v>34542021111921360251090</v>
      </c>
      <c r="C680" s="7" t="s">
        <v>17</v>
      </c>
      <c r="D680" s="7" t="str">
        <f>"黎春丽"</f>
        <v>黎春丽</v>
      </c>
      <c r="E680" s="7" t="str">
        <f t="shared" si="81"/>
        <v>女</v>
      </c>
      <c r="F680" s="7"/>
    </row>
    <row r="681" spans="1:6" ht="30" customHeight="1">
      <c r="A681" s="7">
        <v>679</v>
      </c>
      <c r="B681" s="7" t="str">
        <f>"34542021111921364051091"</f>
        <v>34542021111921364051091</v>
      </c>
      <c r="C681" s="7" t="s">
        <v>17</v>
      </c>
      <c r="D681" s="7" t="str">
        <f>"薛乾花"</f>
        <v>薛乾花</v>
      </c>
      <c r="E681" s="7" t="str">
        <f t="shared" si="81"/>
        <v>女</v>
      </c>
      <c r="F681" s="7"/>
    </row>
    <row r="682" spans="1:6" ht="30" customHeight="1">
      <c r="A682" s="7">
        <v>680</v>
      </c>
      <c r="B682" s="7" t="str">
        <f>"34542021111921394151092"</f>
        <v>34542021111921394151092</v>
      </c>
      <c r="C682" s="7" t="s">
        <v>17</v>
      </c>
      <c r="D682" s="7" t="str">
        <f>"蔡三女"</f>
        <v>蔡三女</v>
      </c>
      <c r="E682" s="7" t="str">
        <f t="shared" si="81"/>
        <v>女</v>
      </c>
      <c r="F682" s="7"/>
    </row>
    <row r="683" spans="1:6" ht="30" customHeight="1">
      <c r="A683" s="7">
        <v>681</v>
      </c>
      <c r="B683" s="7" t="str">
        <f>"34542021111921404751093"</f>
        <v>34542021111921404751093</v>
      </c>
      <c r="C683" s="7" t="s">
        <v>17</v>
      </c>
      <c r="D683" s="7" t="str">
        <f>"黎秀蕊"</f>
        <v>黎秀蕊</v>
      </c>
      <c r="E683" s="7" t="str">
        <f t="shared" si="81"/>
        <v>女</v>
      </c>
      <c r="F683" s="7"/>
    </row>
    <row r="684" spans="1:6" ht="30" customHeight="1">
      <c r="A684" s="7">
        <v>682</v>
      </c>
      <c r="B684" s="7" t="str">
        <f>"34542021111921452451094"</f>
        <v>34542021111921452451094</v>
      </c>
      <c r="C684" s="7" t="s">
        <v>17</v>
      </c>
      <c r="D684" s="7" t="str">
        <f>"李爱坤"</f>
        <v>李爱坤</v>
      </c>
      <c r="E684" s="7" t="str">
        <f t="shared" si="81"/>
        <v>女</v>
      </c>
      <c r="F684" s="7"/>
    </row>
    <row r="685" spans="1:6" ht="30" customHeight="1">
      <c r="A685" s="7">
        <v>683</v>
      </c>
      <c r="B685" s="7" t="str">
        <f>"34542021111922093951103"</f>
        <v>34542021111922093951103</v>
      </c>
      <c r="C685" s="7" t="s">
        <v>17</v>
      </c>
      <c r="D685" s="7" t="str">
        <f>"李引红"</f>
        <v>李引红</v>
      </c>
      <c r="E685" s="7" t="str">
        <f t="shared" si="81"/>
        <v>女</v>
      </c>
      <c r="F685" s="7"/>
    </row>
    <row r="686" spans="1:6" ht="30" customHeight="1">
      <c r="A686" s="7">
        <v>684</v>
      </c>
      <c r="B686" s="7" t="str">
        <f>"34542021111922114751106"</f>
        <v>34542021111922114751106</v>
      </c>
      <c r="C686" s="7" t="s">
        <v>17</v>
      </c>
      <c r="D686" s="7" t="str">
        <f>"陈永波"</f>
        <v>陈永波</v>
      </c>
      <c r="E686" s="7" t="str">
        <f t="shared" si="81"/>
        <v>女</v>
      </c>
      <c r="F686" s="7"/>
    </row>
    <row r="687" spans="1:6" ht="30" customHeight="1">
      <c r="A687" s="7">
        <v>685</v>
      </c>
      <c r="B687" s="7" t="str">
        <f>"34542021111922161251108"</f>
        <v>34542021111922161251108</v>
      </c>
      <c r="C687" s="7" t="s">
        <v>17</v>
      </c>
      <c r="D687" s="7" t="str">
        <f>"何秀芬"</f>
        <v>何秀芬</v>
      </c>
      <c r="E687" s="7" t="str">
        <f t="shared" si="81"/>
        <v>女</v>
      </c>
      <c r="F687" s="7"/>
    </row>
    <row r="688" spans="1:6" ht="30" customHeight="1">
      <c r="A688" s="7">
        <v>686</v>
      </c>
      <c r="B688" s="7" t="str">
        <f>"34542021111922183551109"</f>
        <v>34542021111922183551109</v>
      </c>
      <c r="C688" s="7" t="s">
        <v>17</v>
      </c>
      <c r="D688" s="7" t="str">
        <f>"马美红"</f>
        <v>马美红</v>
      </c>
      <c r="E688" s="7" t="str">
        <f t="shared" si="81"/>
        <v>女</v>
      </c>
      <c r="F688" s="7"/>
    </row>
    <row r="689" spans="1:6" ht="30" customHeight="1">
      <c r="A689" s="7">
        <v>687</v>
      </c>
      <c r="B689" s="7" t="str">
        <f>"34542021111922282851112"</f>
        <v>34542021111922282851112</v>
      </c>
      <c r="C689" s="7" t="s">
        <v>17</v>
      </c>
      <c r="D689" s="7" t="str">
        <f>"张秀妮"</f>
        <v>张秀妮</v>
      </c>
      <c r="E689" s="7" t="str">
        <f t="shared" si="81"/>
        <v>女</v>
      </c>
      <c r="F689" s="7"/>
    </row>
    <row r="690" spans="1:6" ht="30" customHeight="1">
      <c r="A690" s="7">
        <v>688</v>
      </c>
      <c r="B690" s="7" t="str">
        <f>"34542021111922300451113"</f>
        <v>34542021111922300451113</v>
      </c>
      <c r="C690" s="7" t="s">
        <v>17</v>
      </c>
      <c r="D690" s="7" t="str">
        <f>"欧桃丹"</f>
        <v>欧桃丹</v>
      </c>
      <c r="E690" s="7" t="str">
        <f t="shared" si="81"/>
        <v>女</v>
      </c>
      <c r="F690" s="7"/>
    </row>
    <row r="691" spans="1:6" ht="30" customHeight="1">
      <c r="A691" s="7">
        <v>689</v>
      </c>
      <c r="B691" s="7" t="str">
        <f>"34542021111922310351114"</f>
        <v>34542021111922310351114</v>
      </c>
      <c r="C691" s="7" t="s">
        <v>17</v>
      </c>
      <c r="D691" s="7" t="str">
        <f>"李爱丹"</f>
        <v>李爱丹</v>
      </c>
      <c r="E691" s="7" t="str">
        <f t="shared" si="81"/>
        <v>女</v>
      </c>
      <c r="F691" s="7"/>
    </row>
    <row r="692" spans="1:6" ht="30" customHeight="1">
      <c r="A692" s="7">
        <v>690</v>
      </c>
      <c r="B692" s="7" t="str">
        <f>"34542021111922325951116"</f>
        <v>34542021111922325951116</v>
      </c>
      <c r="C692" s="7" t="s">
        <v>17</v>
      </c>
      <c r="D692" s="7" t="str">
        <f>"陈智香"</f>
        <v>陈智香</v>
      </c>
      <c r="E692" s="7" t="str">
        <f t="shared" si="81"/>
        <v>女</v>
      </c>
      <c r="F692" s="7"/>
    </row>
    <row r="693" spans="1:6" ht="30" customHeight="1">
      <c r="A693" s="7">
        <v>691</v>
      </c>
      <c r="B693" s="7" t="str">
        <f>"34542021111922461051118"</f>
        <v>34542021111922461051118</v>
      </c>
      <c r="C693" s="7" t="s">
        <v>17</v>
      </c>
      <c r="D693" s="7" t="str">
        <f>"吴传柳"</f>
        <v>吴传柳</v>
      </c>
      <c r="E693" s="7" t="str">
        <f t="shared" si="81"/>
        <v>女</v>
      </c>
      <c r="F693" s="7"/>
    </row>
    <row r="694" spans="1:6" ht="30" customHeight="1">
      <c r="A694" s="7">
        <v>692</v>
      </c>
      <c r="B694" s="7" t="str">
        <f>"34542021111922495751120"</f>
        <v>34542021111922495751120</v>
      </c>
      <c r="C694" s="7" t="s">
        <v>17</v>
      </c>
      <c r="D694" s="7" t="str">
        <f>"赵圣联"</f>
        <v>赵圣联</v>
      </c>
      <c r="E694" s="7" t="str">
        <f t="shared" si="81"/>
        <v>女</v>
      </c>
      <c r="F694" s="7"/>
    </row>
    <row r="695" spans="1:6" ht="30" customHeight="1">
      <c r="A695" s="7">
        <v>693</v>
      </c>
      <c r="B695" s="7" t="str">
        <f>"34542021111922565651125"</f>
        <v>34542021111922565651125</v>
      </c>
      <c r="C695" s="7" t="s">
        <v>17</v>
      </c>
      <c r="D695" s="7" t="str">
        <f>"蔡莲月"</f>
        <v>蔡莲月</v>
      </c>
      <c r="E695" s="7" t="str">
        <f t="shared" si="81"/>
        <v>女</v>
      </c>
      <c r="F695" s="7"/>
    </row>
    <row r="696" spans="1:6" ht="30" customHeight="1">
      <c r="A696" s="7">
        <v>694</v>
      </c>
      <c r="B696" s="7" t="str">
        <f>"34542021111923150651128"</f>
        <v>34542021111923150651128</v>
      </c>
      <c r="C696" s="7" t="s">
        <v>17</v>
      </c>
      <c r="D696" s="7" t="str">
        <f>"彭荣贤"</f>
        <v>彭荣贤</v>
      </c>
      <c r="E696" s="7" t="str">
        <f>"男"</f>
        <v>男</v>
      </c>
      <c r="F696" s="7"/>
    </row>
    <row r="697" spans="1:6" ht="30" customHeight="1">
      <c r="A697" s="7">
        <v>695</v>
      </c>
      <c r="B697" s="7" t="str">
        <f>"34542021111923183351130"</f>
        <v>34542021111923183351130</v>
      </c>
      <c r="C697" s="7" t="s">
        <v>17</v>
      </c>
      <c r="D697" s="7" t="str">
        <f>"王春柳"</f>
        <v>王春柳</v>
      </c>
      <c r="E697" s="7" t="str">
        <f aca="true" t="shared" si="82" ref="E697:E760">"女"</f>
        <v>女</v>
      </c>
      <c r="F697" s="7"/>
    </row>
    <row r="698" spans="1:6" ht="30" customHeight="1">
      <c r="A698" s="7">
        <v>696</v>
      </c>
      <c r="B698" s="7" t="str">
        <f>"34542021111923193651131"</f>
        <v>34542021111923193651131</v>
      </c>
      <c r="C698" s="7" t="s">
        <v>17</v>
      </c>
      <c r="D698" s="7" t="str">
        <f>"周树交"</f>
        <v>周树交</v>
      </c>
      <c r="E698" s="7" t="str">
        <f t="shared" si="82"/>
        <v>女</v>
      </c>
      <c r="F698" s="7"/>
    </row>
    <row r="699" spans="1:6" ht="30" customHeight="1">
      <c r="A699" s="7">
        <v>697</v>
      </c>
      <c r="B699" s="7" t="str">
        <f>"34542021111923313951132"</f>
        <v>34542021111923313951132</v>
      </c>
      <c r="C699" s="7" t="s">
        <v>17</v>
      </c>
      <c r="D699" s="7" t="str">
        <f>"韩博妍"</f>
        <v>韩博妍</v>
      </c>
      <c r="E699" s="7" t="str">
        <f t="shared" si="82"/>
        <v>女</v>
      </c>
      <c r="F699" s="7"/>
    </row>
    <row r="700" spans="1:6" ht="30" customHeight="1">
      <c r="A700" s="7">
        <v>698</v>
      </c>
      <c r="B700" s="7" t="str">
        <f>"34542021111923485451136"</f>
        <v>34542021111923485451136</v>
      </c>
      <c r="C700" s="7" t="s">
        <v>17</v>
      </c>
      <c r="D700" s="7" t="str">
        <f>"李金红"</f>
        <v>李金红</v>
      </c>
      <c r="E700" s="7" t="str">
        <f t="shared" si="82"/>
        <v>女</v>
      </c>
      <c r="F700" s="7"/>
    </row>
    <row r="701" spans="1:6" ht="30" customHeight="1">
      <c r="A701" s="7">
        <v>699</v>
      </c>
      <c r="B701" s="7" t="str">
        <f>"34542021111923543251137"</f>
        <v>34542021111923543251137</v>
      </c>
      <c r="C701" s="7" t="s">
        <v>17</v>
      </c>
      <c r="D701" s="7" t="str">
        <f>"羊翠香"</f>
        <v>羊翠香</v>
      </c>
      <c r="E701" s="7" t="str">
        <f t="shared" si="82"/>
        <v>女</v>
      </c>
      <c r="F701" s="7"/>
    </row>
    <row r="702" spans="1:6" ht="30" customHeight="1">
      <c r="A702" s="7">
        <v>700</v>
      </c>
      <c r="B702" s="7" t="str">
        <f>"34542021111923563051138"</f>
        <v>34542021111923563051138</v>
      </c>
      <c r="C702" s="7" t="s">
        <v>17</v>
      </c>
      <c r="D702" s="7" t="str">
        <f>"陈净磷"</f>
        <v>陈净磷</v>
      </c>
      <c r="E702" s="7" t="str">
        <f t="shared" si="82"/>
        <v>女</v>
      </c>
      <c r="F702" s="7"/>
    </row>
    <row r="703" spans="1:6" ht="30" customHeight="1">
      <c r="A703" s="7">
        <v>701</v>
      </c>
      <c r="B703" s="7" t="str">
        <f>"34542021112000190151139"</f>
        <v>34542021112000190151139</v>
      </c>
      <c r="C703" s="7" t="s">
        <v>17</v>
      </c>
      <c r="D703" s="7" t="str">
        <f>"吴为美"</f>
        <v>吴为美</v>
      </c>
      <c r="E703" s="7" t="str">
        <f t="shared" si="82"/>
        <v>女</v>
      </c>
      <c r="F703" s="7"/>
    </row>
    <row r="704" spans="1:6" ht="30" customHeight="1">
      <c r="A704" s="7">
        <v>702</v>
      </c>
      <c r="B704" s="7" t="str">
        <f>"34542021112000445351142"</f>
        <v>34542021112000445351142</v>
      </c>
      <c r="C704" s="7" t="s">
        <v>17</v>
      </c>
      <c r="D704" s="7" t="str">
        <f>"梁春花"</f>
        <v>梁春花</v>
      </c>
      <c r="E704" s="7" t="str">
        <f t="shared" si="82"/>
        <v>女</v>
      </c>
      <c r="F704" s="7"/>
    </row>
    <row r="705" spans="1:6" ht="30" customHeight="1">
      <c r="A705" s="7">
        <v>703</v>
      </c>
      <c r="B705" s="7" t="str">
        <f>"34542021112001121351144"</f>
        <v>34542021112001121351144</v>
      </c>
      <c r="C705" s="7" t="s">
        <v>17</v>
      </c>
      <c r="D705" s="7" t="str">
        <f>"李元桃"</f>
        <v>李元桃</v>
      </c>
      <c r="E705" s="7" t="str">
        <f t="shared" si="82"/>
        <v>女</v>
      </c>
      <c r="F705" s="7"/>
    </row>
    <row r="706" spans="1:6" ht="30" customHeight="1">
      <c r="A706" s="7">
        <v>704</v>
      </c>
      <c r="B706" s="7" t="str">
        <f>"34542021112008182651152"</f>
        <v>34542021112008182651152</v>
      </c>
      <c r="C706" s="7" t="s">
        <v>17</v>
      </c>
      <c r="D706" s="7" t="str">
        <f>"李精带"</f>
        <v>李精带</v>
      </c>
      <c r="E706" s="7" t="str">
        <f t="shared" si="82"/>
        <v>女</v>
      </c>
      <c r="F706" s="7"/>
    </row>
    <row r="707" spans="1:6" ht="30" customHeight="1">
      <c r="A707" s="7">
        <v>705</v>
      </c>
      <c r="B707" s="7" t="str">
        <f>"34542021112008353251154"</f>
        <v>34542021112008353251154</v>
      </c>
      <c r="C707" s="7" t="s">
        <v>17</v>
      </c>
      <c r="D707" s="7" t="str">
        <f>"林玉姜"</f>
        <v>林玉姜</v>
      </c>
      <c r="E707" s="7" t="str">
        <f t="shared" si="82"/>
        <v>女</v>
      </c>
      <c r="F707" s="7"/>
    </row>
    <row r="708" spans="1:6" ht="30" customHeight="1">
      <c r="A708" s="7">
        <v>706</v>
      </c>
      <c r="B708" s="7" t="str">
        <f>"34542021112009113151158"</f>
        <v>34542021112009113151158</v>
      </c>
      <c r="C708" s="7" t="s">
        <v>17</v>
      </c>
      <c r="D708" s="7" t="str">
        <f>"王文莲"</f>
        <v>王文莲</v>
      </c>
      <c r="E708" s="7" t="str">
        <f t="shared" si="82"/>
        <v>女</v>
      </c>
      <c r="F708" s="7"/>
    </row>
    <row r="709" spans="1:6" ht="30" customHeight="1">
      <c r="A709" s="7">
        <v>707</v>
      </c>
      <c r="B709" s="7" t="str">
        <f>"34542021112009174551160"</f>
        <v>34542021112009174551160</v>
      </c>
      <c r="C709" s="7" t="s">
        <v>17</v>
      </c>
      <c r="D709" s="7" t="str">
        <f>"谢元香"</f>
        <v>谢元香</v>
      </c>
      <c r="E709" s="7" t="str">
        <f t="shared" si="82"/>
        <v>女</v>
      </c>
      <c r="F709" s="7"/>
    </row>
    <row r="710" spans="1:6" ht="30" customHeight="1">
      <c r="A710" s="7">
        <v>708</v>
      </c>
      <c r="B710" s="7" t="str">
        <f>"34542021112009214651161"</f>
        <v>34542021112009214651161</v>
      </c>
      <c r="C710" s="7" t="s">
        <v>17</v>
      </c>
      <c r="D710" s="7" t="str">
        <f>"何精月"</f>
        <v>何精月</v>
      </c>
      <c r="E710" s="7" t="str">
        <f t="shared" si="82"/>
        <v>女</v>
      </c>
      <c r="F710" s="7"/>
    </row>
    <row r="711" spans="1:6" ht="30" customHeight="1">
      <c r="A711" s="7">
        <v>709</v>
      </c>
      <c r="B711" s="7" t="str">
        <f>"34542021112009225351162"</f>
        <v>34542021112009225351162</v>
      </c>
      <c r="C711" s="7" t="s">
        <v>17</v>
      </c>
      <c r="D711" s="7" t="str">
        <f>"林洪霞"</f>
        <v>林洪霞</v>
      </c>
      <c r="E711" s="7" t="str">
        <f t="shared" si="82"/>
        <v>女</v>
      </c>
      <c r="F711" s="7"/>
    </row>
    <row r="712" spans="1:6" ht="30" customHeight="1">
      <c r="A712" s="7">
        <v>710</v>
      </c>
      <c r="B712" s="7" t="str">
        <f>"34542021112009285851164"</f>
        <v>34542021112009285851164</v>
      </c>
      <c r="C712" s="7" t="s">
        <v>17</v>
      </c>
      <c r="D712" s="7" t="str">
        <f>"符允丽"</f>
        <v>符允丽</v>
      </c>
      <c r="E712" s="7" t="str">
        <f t="shared" si="82"/>
        <v>女</v>
      </c>
      <c r="F712" s="7"/>
    </row>
    <row r="713" spans="1:6" ht="30" customHeight="1">
      <c r="A713" s="7">
        <v>711</v>
      </c>
      <c r="B713" s="7" t="str">
        <f>"34542021112009344351166"</f>
        <v>34542021112009344351166</v>
      </c>
      <c r="C713" s="7" t="s">
        <v>17</v>
      </c>
      <c r="D713" s="7" t="str">
        <f>"雷从丽"</f>
        <v>雷从丽</v>
      </c>
      <c r="E713" s="7" t="str">
        <f t="shared" si="82"/>
        <v>女</v>
      </c>
      <c r="F713" s="7"/>
    </row>
    <row r="714" spans="1:6" ht="30" customHeight="1">
      <c r="A714" s="7">
        <v>712</v>
      </c>
      <c r="B714" s="7" t="str">
        <f>"34542021112009434551169"</f>
        <v>34542021112009434551169</v>
      </c>
      <c r="C714" s="7" t="s">
        <v>17</v>
      </c>
      <c r="D714" s="7" t="str">
        <f>"许采香"</f>
        <v>许采香</v>
      </c>
      <c r="E714" s="7" t="str">
        <f t="shared" si="82"/>
        <v>女</v>
      </c>
      <c r="F714" s="7"/>
    </row>
    <row r="715" spans="1:6" ht="30" customHeight="1">
      <c r="A715" s="7">
        <v>713</v>
      </c>
      <c r="B715" s="7" t="str">
        <f>"34542021112009455751170"</f>
        <v>34542021112009455751170</v>
      </c>
      <c r="C715" s="7" t="s">
        <v>17</v>
      </c>
      <c r="D715" s="7" t="str">
        <f>"陈小敏"</f>
        <v>陈小敏</v>
      </c>
      <c r="E715" s="7" t="str">
        <f t="shared" si="82"/>
        <v>女</v>
      </c>
      <c r="F715" s="7"/>
    </row>
    <row r="716" spans="1:6" ht="30" customHeight="1">
      <c r="A716" s="7">
        <v>714</v>
      </c>
      <c r="B716" s="7" t="str">
        <f>"34542021112009461351171"</f>
        <v>34542021112009461351171</v>
      </c>
      <c r="C716" s="7" t="s">
        <v>17</v>
      </c>
      <c r="D716" s="7" t="str">
        <f>"刘玉香"</f>
        <v>刘玉香</v>
      </c>
      <c r="E716" s="7" t="str">
        <f t="shared" si="82"/>
        <v>女</v>
      </c>
      <c r="F716" s="7"/>
    </row>
    <row r="717" spans="1:6" ht="30" customHeight="1">
      <c r="A717" s="7">
        <v>715</v>
      </c>
      <c r="B717" s="7" t="str">
        <f>"34542021112009472151172"</f>
        <v>34542021112009472151172</v>
      </c>
      <c r="C717" s="7" t="s">
        <v>17</v>
      </c>
      <c r="D717" s="7" t="str">
        <f>"钟绵娇"</f>
        <v>钟绵娇</v>
      </c>
      <c r="E717" s="7" t="str">
        <f t="shared" si="82"/>
        <v>女</v>
      </c>
      <c r="F717" s="7"/>
    </row>
    <row r="718" spans="1:6" ht="30" customHeight="1">
      <c r="A718" s="7">
        <v>716</v>
      </c>
      <c r="B718" s="7" t="str">
        <f>"34542021112009535751174"</f>
        <v>34542021112009535751174</v>
      </c>
      <c r="C718" s="7" t="s">
        <v>17</v>
      </c>
      <c r="D718" s="7" t="str">
        <f>"李春柳"</f>
        <v>李春柳</v>
      </c>
      <c r="E718" s="7" t="str">
        <f t="shared" si="82"/>
        <v>女</v>
      </c>
      <c r="F718" s="7"/>
    </row>
    <row r="719" spans="1:6" ht="30" customHeight="1">
      <c r="A719" s="7">
        <v>717</v>
      </c>
      <c r="B719" s="7" t="str">
        <f>"34542021112009544751175"</f>
        <v>34542021112009544751175</v>
      </c>
      <c r="C719" s="7" t="s">
        <v>17</v>
      </c>
      <c r="D719" s="7" t="str">
        <f>"万觉玲"</f>
        <v>万觉玲</v>
      </c>
      <c r="E719" s="7" t="str">
        <f t="shared" si="82"/>
        <v>女</v>
      </c>
      <c r="F719" s="7"/>
    </row>
    <row r="720" spans="1:6" ht="30" customHeight="1">
      <c r="A720" s="7">
        <v>718</v>
      </c>
      <c r="B720" s="7" t="str">
        <f>"34542021112009573251176"</f>
        <v>34542021112009573251176</v>
      </c>
      <c r="C720" s="7" t="s">
        <v>17</v>
      </c>
      <c r="D720" s="7" t="str">
        <f>"黎日丽"</f>
        <v>黎日丽</v>
      </c>
      <c r="E720" s="7" t="str">
        <f t="shared" si="82"/>
        <v>女</v>
      </c>
      <c r="F720" s="7"/>
    </row>
    <row r="721" spans="1:6" ht="30" customHeight="1">
      <c r="A721" s="7">
        <v>719</v>
      </c>
      <c r="B721" s="7" t="str">
        <f>"34542021112010105351182"</f>
        <v>34542021112010105351182</v>
      </c>
      <c r="C721" s="7" t="s">
        <v>17</v>
      </c>
      <c r="D721" s="7" t="str">
        <f>"吴丽美"</f>
        <v>吴丽美</v>
      </c>
      <c r="E721" s="7" t="str">
        <f t="shared" si="82"/>
        <v>女</v>
      </c>
      <c r="F721" s="7"/>
    </row>
    <row r="722" spans="1:6" ht="30" customHeight="1">
      <c r="A722" s="7">
        <v>720</v>
      </c>
      <c r="B722" s="7" t="str">
        <f>"34542021112010115751183"</f>
        <v>34542021112010115751183</v>
      </c>
      <c r="C722" s="7" t="s">
        <v>17</v>
      </c>
      <c r="D722" s="7" t="str">
        <f>"吴美玉"</f>
        <v>吴美玉</v>
      </c>
      <c r="E722" s="7" t="str">
        <f t="shared" si="82"/>
        <v>女</v>
      </c>
      <c r="F722" s="7"/>
    </row>
    <row r="723" spans="1:6" ht="30" customHeight="1">
      <c r="A723" s="7">
        <v>721</v>
      </c>
      <c r="B723" s="7" t="str">
        <f>"34542021112010151251185"</f>
        <v>34542021112010151251185</v>
      </c>
      <c r="C723" s="7" t="s">
        <v>17</v>
      </c>
      <c r="D723" s="7" t="str">
        <f>"谢永娟"</f>
        <v>谢永娟</v>
      </c>
      <c r="E723" s="7" t="str">
        <f t="shared" si="82"/>
        <v>女</v>
      </c>
      <c r="F723" s="7"/>
    </row>
    <row r="724" spans="1:6" ht="30" customHeight="1">
      <c r="A724" s="7">
        <v>722</v>
      </c>
      <c r="B724" s="7" t="str">
        <f>"34542021112010215051189"</f>
        <v>34542021112010215051189</v>
      </c>
      <c r="C724" s="7" t="s">
        <v>17</v>
      </c>
      <c r="D724" s="7" t="str">
        <f>"陈万凤"</f>
        <v>陈万凤</v>
      </c>
      <c r="E724" s="7" t="str">
        <f t="shared" si="82"/>
        <v>女</v>
      </c>
      <c r="F724" s="7"/>
    </row>
    <row r="725" spans="1:6" ht="30" customHeight="1">
      <c r="A725" s="7">
        <v>723</v>
      </c>
      <c r="B725" s="7" t="str">
        <f>"34542021112010233251190"</f>
        <v>34542021112010233251190</v>
      </c>
      <c r="C725" s="7" t="s">
        <v>17</v>
      </c>
      <c r="D725" s="7" t="str">
        <f>"苏尾女"</f>
        <v>苏尾女</v>
      </c>
      <c r="E725" s="7" t="str">
        <f t="shared" si="82"/>
        <v>女</v>
      </c>
      <c r="F725" s="7"/>
    </row>
    <row r="726" spans="1:6" ht="30" customHeight="1">
      <c r="A726" s="7">
        <v>724</v>
      </c>
      <c r="B726" s="7" t="str">
        <f>"34542021112010244051191"</f>
        <v>34542021112010244051191</v>
      </c>
      <c r="C726" s="7" t="s">
        <v>17</v>
      </c>
      <c r="D726" s="7" t="str">
        <f>"邱春妹"</f>
        <v>邱春妹</v>
      </c>
      <c r="E726" s="7" t="str">
        <f t="shared" si="82"/>
        <v>女</v>
      </c>
      <c r="F726" s="7"/>
    </row>
    <row r="727" spans="1:6" ht="30" customHeight="1">
      <c r="A727" s="7">
        <v>725</v>
      </c>
      <c r="B727" s="7" t="str">
        <f>"34542021112010280151193"</f>
        <v>34542021112010280151193</v>
      </c>
      <c r="C727" s="7" t="s">
        <v>17</v>
      </c>
      <c r="D727" s="7" t="str">
        <f>"林诗梅"</f>
        <v>林诗梅</v>
      </c>
      <c r="E727" s="7" t="str">
        <f t="shared" si="82"/>
        <v>女</v>
      </c>
      <c r="F727" s="7"/>
    </row>
    <row r="728" spans="1:6" ht="30" customHeight="1">
      <c r="A728" s="7">
        <v>726</v>
      </c>
      <c r="B728" s="7" t="str">
        <f>"34542021112010314251194"</f>
        <v>34542021112010314251194</v>
      </c>
      <c r="C728" s="7" t="s">
        <v>17</v>
      </c>
      <c r="D728" s="7" t="str">
        <f>"朱允萱"</f>
        <v>朱允萱</v>
      </c>
      <c r="E728" s="7" t="str">
        <f t="shared" si="82"/>
        <v>女</v>
      </c>
      <c r="F728" s="7"/>
    </row>
    <row r="729" spans="1:6" ht="30" customHeight="1">
      <c r="A729" s="7">
        <v>727</v>
      </c>
      <c r="B729" s="7" t="str">
        <f>"34542021112010322951195"</f>
        <v>34542021112010322951195</v>
      </c>
      <c r="C729" s="7" t="s">
        <v>17</v>
      </c>
      <c r="D729" s="7" t="str">
        <f>"吴焕淑"</f>
        <v>吴焕淑</v>
      </c>
      <c r="E729" s="7" t="str">
        <f t="shared" si="82"/>
        <v>女</v>
      </c>
      <c r="F729" s="7"/>
    </row>
    <row r="730" spans="1:6" ht="30" customHeight="1">
      <c r="A730" s="7">
        <v>728</v>
      </c>
      <c r="B730" s="7" t="str">
        <f>"34542021112010391351196"</f>
        <v>34542021112010391351196</v>
      </c>
      <c r="C730" s="7" t="s">
        <v>17</v>
      </c>
      <c r="D730" s="7" t="str">
        <f>"李娜"</f>
        <v>李娜</v>
      </c>
      <c r="E730" s="7" t="str">
        <f t="shared" si="82"/>
        <v>女</v>
      </c>
      <c r="F730" s="7"/>
    </row>
    <row r="731" spans="1:6" ht="30" customHeight="1">
      <c r="A731" s="7">
        <v>729</v>
      </c>
      <c r="B731" s="7" t="str">
        <f>"34542021112010411951199"</f>
        <v>34542021112010411951199</v>
      </c>
      <c r="C731" s="7" t="s">
        <v>17</v>
      </c>
      <c r="D731" s="7" t="str">
        <f>"李带娥"</f>
        <v>李带娥</v>
      </c>
      <c r="E731" s="7" t="str">
        <f t="shared" si="82"/>
        <v>女</v>
      </c>
      <c r="F731" s="7"/>
    </row>
    <row r="732" spans="1:6" ht="30" customHeight="1">
      <c r="A732" s="7">
        <v>730</v>
      </c>
      <c r="B732" s="7" t="str">
        <f>"34542021112010450051201"</f>
        <v>34542021112010450051201</v>
      </c>
      <c r="C732" s="7" t="s">
        <v>17</v>
      </c>
      <c r="D732" s="7" t="str">
        <f>"金婷"</f>
        <v>金婷</v>
      </c>
      <c r="E732" s="7" t="str">
        <f t="shared" si="82"/>
        <v>女</v>
      </c>
      <c r="F732" s="7"/>
    </row>
    <row r="733" spans="1:6" ht="30" customHeight="1">
      <c r="A733" s="7">
        <v>731</v>
      </c>
      <c r="B733" s="7" t="str">
        <f>"34542021112010465251202"</f>
        <v>34542021112010465251202</v>
      </c>
      <c r="C733" s="7" t="s">
        <v>17</v>
      </c>
      <c r="D733" s="7" t="str">
        <f>"符焕乾"</f>
        <v>符焕乾</v>
      </c>
      <c r="E733" s="7" t="str">
        <f t="shared" si="82"/>
        <v>女</v>
      </c>
      <c r="F733" s="7"/>
    </row>
    <row r="734" spans="1:6" ht="30" customHeight="1">
      <c r="A734" s="7">
        <v>732</v>
      </c>
      <c r="B734" s="7" t="str">
        <f>"34542021112010503751203"</f>
        <v>34542021112010503751203</v>
      </c>
      <c r="C734" s="7" t="s">
        <v>17</v>
      </c>
      <c r="D734" s="7" t="str">
        <f>"符联巧"</f>
        <v>符联巧</v>
      </c>
      <c r="E734" s="7" t="str">
        <f t="shared" si="82"/>
        <v>女</v>
      </c>
      <c r="F734" s="7"/>
    </row>
    <row r="735" spans="1:6" ht="30" customHeight="1">
      <c r="A735" s="7">
        <v>733</v>
      </c>
      <c r="B735" s="7" t="str">
        <f>"34542021112010515851204"</f>
        <v>34542021112010515851204</v>
      </c>
      <c r="C735" s="7" t="s">
        <v>17</v>
      </c>
      <c r="D735" s="7" t="str">
        <f>"吴庭淑"</f>
        <v>吴庭淑</v>
      </c>
      <c r="E735" s="7" t="str">
        <f t="shared" si="82"/>
        <v>女</v>
      </c>
      <c r="F735" s="7"/>
    </row>
    <row r="736" spans="1:6" ht="30" customHeight="1">
      <c r="A736" s="7">
        <v>734</v>
      </c>
      <c r="B736" s="7" t="str">
        <f>"34542021112010552351207"</f>
        <v>34542021112010552351207</v>
      </c>
      <c r="C736" s="7" t="s">
        <v>17</v>
      </c>
      <c r="D736" s="7" t="str">
        <f>"陈美善"</f>
        <v>陈美善</v>
      </c>
      <c r="E736" s="7" t="str">
        <f t="shared" si="82"/>
        <v>女</v>
      </c>
      <c r="F736" s="7"/>
    </row>
    <row r="737" spans="1:6" ht="30" customHeight="1">
      <c r="A737" s="7">
        <v>735</v>
      </c>
      <c r="B737" s="7" t="str">
        <f>"34542021112010564751209"</f>
        <v>34542021112010564751209</v>
      </c>
      <c r="C737" s="7" t="s">
        <v>17</v>
      </c>
      <c r="D737" s="7" t="str">
        <f>"林琼丽"</f>
        <v>林琼丽</v>
      </c>
      <c r="E737" s="7" t="str">
        <f t="shared" si="82"/>
        <v>女</v>
      </c>
      <c r="F737" s="7"/>
    </row>
    <row r="738" spans="1:6" ht="30" customHeight="1">
      <c r="A738" s="7">
        <v>736</v>
      </c>
      <c r="B738" s="7" t="str">
        <f>"34542021112010585451210"</f>
        <v>34542021112010585451210</v>
      </c>
      <c r="C738" s="7" t="s">
        <v>17</v>
      </c>
      <c r="D738" s="7" t="str">
        <f>"吴颖"</f>
        <v>吴颖</v>
      </c>
      <c r="E738" s="7" t="str">
        <f t="shared" si="82"/>
        <v>女</v>
      </c>
      <c r="F738" s="7"/>
    </row>
    <row r="739" spans="1:6" ht="30" customHeight="1">
      <c r="A739" s="7">
        <v>737</v>
      </c>
      <c r="B739" s="7" t="str">
        <f>"34542021112010585651211"</f>
        <v>34542021112010585651211</v>
      </c>
      <c r="C739" s="7" t="s">
        <v>17</v>
      </c>
      <c r="D739" s="7" t="str">
        <f>"黎秀丽"</f>
        <v>黎秀丽</v>
      </c>
      <c r="E739" s="7" t="str">
        <f t="shared" si="82"/>
        <v>女</v>
      </c>
      <c r="F739" s="7"/>
    </row>
    <row r="740" spans="1:6" ht="30" customHeight="1">
      <c r="A740" s="7">
        <v>738</v>
      </c>
      <c r="B740" s="7" t="str">
        <f>"34542021112011041351212"</f>
        <v>34542021112011041351212</v>
      </c>
      <c r="C740" s="7" t="s">
        <v>17</v>
      </c>
      <c r="D740" s="7" t="str">
        <f>"李夏娜"</f>
        <v>李夏娜</v>
      </c>
      <c r="E740" s="7" t="str">
        <f t="shared" si="82"/>
        <v>女</v>
      </c>
      <c r="F740" s="7"/>
    </row>
    <row r="741" spans="1:6" ht="30" customHeight="1">
      <c r="A741" s="7">
        <v>739</v>
      </c>
      <c r="B741" s="7" t="str">
        <f>"34542021112011214251219"</f>
        <v>34542021112011214251219</v>
      </c>
      <c r="C741" s="7" t="s">
        <v>17</v>
      </c>
      <c r="D741" s="7" t="str">
        <f>"陈二翠"</f>
        <v>陈二翠</v>
      </c>
      <c r="E741" s="7" t="str">
        <f t="shared" si="82"/>
        <v>女</v>
      </c>
      <c r="F741" s="7"/>
    </row>
    <row r="742" spans="1:6" ht="30" customHeight="1">
      <c r="A742" s="7">
        <v>740</v>
      </c>
      <c r="B742" s="7" t="str">
        <f>"34542021112011325551222"</f>
        <v>34542021112011325551222</v>
      </c>
      <c r="C742" s="7" t="s">
        <v>17</v>
      </c>
      <c r="D742" s="7" t="str">
        <f>"欧丽江"</f>
        <v>欧丽江</v>
      </c>
      <c r="E742" s="7" t="str">
        <f t="shared" si="82"/>
        <v>女</v>
      </c>
      <c r="F742" s="7"/>
    </row>
    <row r="743" spans="1:6" ht="30" customHeight="1">
      <c r="A743" s="7">
        <v>741</v>
      </c>
      <c r="B743" s="7" t="str">
        <f>"34542021112011340051223"</f>
        <v>34542021112011340051223</v>
      </c>
      <c r="C743" s="7" t="s">
        <v>17</v>
      </c>
      <c r="D743" s="7" t="str">
        <f>"吴丽妃"</f>
        <v>吴丽妃</v>
      </c>
      <c r="E743" s="7" t="str">
        <f t="shared" si="82"/>
        <v>女</v>
      </c>
      <c r="F743" s="7"/>
    </row>
    <row r="744" spans="1:6" ht="30" customHeight="1">
      <c r="A744" s="7">
        <v>742</v>
      </c>
      <c r="B744" s="7" t="str">
        <f>"34542021112011461451229"</f>
        <v>34542021112011461451229</v>
      </c>
      <c r="C744" s="7" t="s">
        <v>17</v>
      </c>
      <c r="D744" s="7" t="str">
        <f>"吴顶妹"</f>
        <v>吴顶妹</v>
      </c>
      <c r="E744" s="7" t="str">
        <f t="shared" si="82"/>
        <v>女</v>
      </c>
      <c r="F744" s="7"/>
    </row>
    <row r="745" spans="1:6" ht="30" customHeight="1">
      <c r="A745" s="7">
        <v>743</v>
      </c>
      <c r="B745" s="7" t="str">
        <f>"34542021112011471551230"</f>
        <v>34542021112011471551230</v>
      </c>
      <c r="C745" s="7" t="s">
        <v>17</v>
      </c>
      <c r="D745" s="7" t="str">
        <f>"苏春花"</f>
        <v>苏春花</v>
      </c>
      <c r="E745" s="7" t="str">
        <f t="shared" si="82"/>
        <v>女</v>
      </c>
      <c r="F745" s="7"/>
    </row>
    <row r="746" spans="1:6" ht="30" customHeight="1">
      <c r="A746" s="7">
        <v>744</v>
      </c>
      <c r="B746" s="7" t="str">
        <f>"34542021112011562951231"</f>
        <v>34542021112011562951231</v>
      </c>
      <c r="C746" s="7" t="s">
        <v>17</v>
      </c>
      <c r="D746" s="7" t="str">
        <f>"许春燕"</f>
        <v>许春燕</v>
      </c>
      <c r="E746" s="7" t="str">
        <f t="shared" si="82"/>
        <v>女</v>
      </c>
      <c r="F746" s="7"/>
    </row>
    <row r="747" spans="1:6" ht="30" customHeight="1">
      <c r="A747" s="7">
        <v>745</v>
      </c>
      <c r="B747" s="7" t="str">
        <f>"34542021112012080251235"</f>
        <v>34542021112012080251235</v>
      </c>
      <c r="C747" s="7" t="s">
        <v>17</v>
      </c>
      <c r="D747" s="7" t="str">
        <f>"符美婷"</f>
        <v>符美婷</v>
      </c>
      <c r="E747" s="7" t="str">
        <f t="shared" si="82"/>
        <v>女</v>
      </c>
      <c r="F747" s="7"/>
    </row>
    <row r="748" spans="1:6" ht="30" customHeight="1">
      <c r="A748" s="7">
        <v>746</v>
      </c>
      <c r="B748" s="7" t="str">
        <f>"34542021112012084051236"</f>
        <v>34542021112012084051236</v>
      </c>
      <c r="C748" s="7" t="s">
        <v>17</v>
      </c>
      <c r="D748" s="7" t="str">
        <f>"符秀英"</f>
        <v>符秀英</v>
      </c>
      <c r="E748" s="7" t="str">
        <f t="shared" si="82"/>
        <v>女</v>
      </c>
      <c r="F748" s="7"/>
    </row>
    <row r="749" spans="1:6" ht="30" customHeight="1">
      <c r="A749" s="7">
        <v>747</v>
      </c>
      <c r="B749" s="7" t="str">
        <f>"34542021112012140351238"</f>
        <v>34542021112012140351238</v>
      </c>
      <c r="C749" s="7" t="s">
        <v>17</v>
      </c>
      <c r="D749" s="7" t="str">
        <f>"黎玉芳"</f>
        <v>黎玉芳</v>
      </c>
      <c r="E749" s="7" t="str">
        <f t="shared" si="82"/>
        <v>女</v>
      </c>
      <c r="F749" s="7"/>
    </row>
    <row r="750" spans="1:6" ht="30" customHeight="1">
      <c r="A750" s="7">
        <v>748</v>
      </c>
      <c r="B750" s="7" t="str">
        <f>"34542021112012145051239"</f>
        <v>34542021112012145051239</v>
      </c>
      <c r="C750" s="7" t="s">
        <v>17</v>
      </c>
      <c r="D750" s="7" t="str">
        <f>"陈玉女"</f>
        <v>陈玉女</v>
      </c>
      <c r="E750" s="7" t="str">
        <f t="shared" si="82"/>
        <v>女</v>
      </c>
      <c r="F750" s="7"/>
    </row>
    <row r="751" spans="1:6" ht="30" customHeight="1">
      <c r="A751" s="7">
        <v>749</v>
      </c>
      <c r="B751" s="7" t="str">
        <f>"34542021112012190451240"</f>
        <v>34542021112012190451240</v>
      </c>
      <c r="C751" s="7" t="s">
        <v>17</v>
      </c>
      <c r="D751" s="7" t="str">
        <f>"陈蕊"</f>
        <v>陈蕊</v>
      </c>
      <c r="E751" s="7" t="str">
        <f t="shared" si="82"/>
        <v>女</v>
      </c>
      <c r="F751" s="7"/>
    </row>
    <row r="752" spans="1:6" ht="30" customHeight="1">
      <c r="A752" s="7">
        <v>750</v>
      </c>
      <c r="B752" s="7" t="str">
        <f>"34542021112012215051241"</f>
        <v>34542021112012215051241</v>
      </c>
      <c r="C752" s="7" t="s">
        <v>17</v>
      </c>
      <c r="D752" s="7" t="str">
        <f>"黄春"</f>
        <v>黄春</v>
      </c>
      <c r="E752" s="7" t="str">
        <f t="shared" si="82"/>
        <v>女</v>
      </c>
      <c r="F752" s="7"/>
    </row>
    <row r="753" spans="1:6" ht="30" customHeight="1">
      <c r="A753" s="7">
        <v>751</v>
      </c>
      <c r="B753" s="7" t="str">
        <f>"34542021112012225251244"</f>
        <v>34542021112012225251244</v>
      </c>
      <c r="C753" s="7" t="s">
        <v>17</v>
      </c>
      <c r="D753" s="7" t="str">
        <f>"林顺荷"</f>
        <v>林顺荷</v>
      </c>
      <c r="E753" s="7" t="str">
        <f t="shared" si="82"/>
        <v>女</v>
      </c>
      <c r="F753" s="7"/>
    </row>
    <row r="754" spans="1:6" ht="30" customHeight="1">
      <c r="A754" s="7">
        <v>752</v>
      </c>
      <c r="B754" s="7" t="str">
        <f>"34542021112012241951245"</f>
        <v>34542021112012241951245</v>
      </c>
      <c r="C754" s="7" t="s">
        <v>17</v>
      </c>
      <c r="D754" s="7" t="str">
        <f>"许琼菊"</f>
        <v>许琼菊</v>
      </c>
      <c r="E754" s="7" t="str">
        <f t="shared" si="82"/>
        <v>女</v>
      </c>
      <c r="F754" s="7"/>
    </row>
    <row r="755" spans="1:6" ht="30" customHeight="1">
      <c r="A755" s="7">
        <v>753</v>
      </c>
      <c r="B755" s="7" t="str">
        <f>"34542021112012312551248"</f>
        <v>34542021112012312551248</v>
      </c>
      <c r="C755" s="7" t="s">
        <v>17</v>
      </c>
      <c r="D755" s="7" t="str">
        <f>"陈晓曼"</f>
        <v>陈晓曼</v>
      </c>
      <c r="E755" s="7" t="str">
        <f t="shared" si="82"/>
        <v>女</v>
      </c>
      <c r="F755" s="7"/>
    </row>
    <row r="756" spans="1:6" ht="30" customHeight="1">
      <c r="A756" s="7">
        <v>754</v>
      </c>
      <c r="B756" s="7" t="str">
        <f>"34542021112012400651250"</f>
        <v>34542021112012400651250</v>
      </c>
      <c r="C756" s="7" t="s">
        <v>17</v>
      </c>
      <c r="D756" s="7" t="str">
        <f>"钟颖"</f>
        <v>钟颖</v>
      </c>
      <c r="E756" s="7" t="str">
        <f t="shared" si="82"/>
        <v>女</v>
      </c>
      <c r="F756" s="7"/>
    </row>
    <row r="757" spans="1:6" ht="30" customHeight="1">
      <c r="A757" s="7">
        <v>755</v>
      </c>
      <c r="B757" s="7" t="str">
        <f>"34542021112012414151251"</f>
        <v>34542021112012414151251</v>
      </c>
      <c r="C757" s="7" t="s">
        <v>17</v>
      </c>
      <c r="D757" s="7" t="str">
        <f>"陈爱丽"</f>
        <v>陈爱丽</v>
      </c>
      <c r="E757" s="7" t="str">
        <f t="shared" si="82"/>
        <v>女</v>
      </c>
      <c r="F757" s="7"/>
    </row>
    <row r="758" spans="1:6" ht="30" customHeight="1">
      <c r="A758" s="7">
        <v>756</v>
      </c>
      <c r="B758" s="7" t="str">
        <f>"34542021112012464451253"</f>
        <v>34542021112012464451253</v>
      </c>
      <c r="C758" s="7" t="s">
        <v>17</v>
      </c>
      <c r="D758" s="7" t="str">
        <f>"林依帆"</f>
        <v>林依帆</v>
      </c>
      <c r="E758" s="7" t="str">
        <f t="shared" si="82"/>
        <v>女</v>
      </c>
      <c r="F758" s="7"/>
    </row>
    <row r="759" spans="1:6" ht="30" customHeight="1">
      <c r="A759" s="7">
        <v>757</v>
      </c>
      <c r="B759" s="7" t="str">
        <f>"34542021112012505151256"</f>
        <v>34542021112012505151256</v>
      </c>
      <c r="C759" s="7" t="s">
        <v>17</v>
      </c>
      <c r="D759" s="7" t="str">
        <f>"庞贵丹"</f>
        <v>庞贵丹</v>
      </c>
      <c r="E759" s="7" t="str">
        <f t="shared" si="82"/>
        <v>女</v>
      </c>
      <c r="F759" s="7"/>
    </row>
    <row r="760" spans="1:6" ht="30" customHeight="1">
      <c r="A760" s="7">
        <v>758</v>
      </c>
      <c r="B760" s="7" t="str">
        <f>"34542021112012592851257"</f>
        <v>34542021112012592851257</v>
      </c>
      <c r="C760" s="7" t="s">
        <v>17</v>
      </c>
      <c r="D760" s="7" t="str">
        <f>"严芳"</f>
        <v>严芳</v>
      </c>
      <c r="E760" s="7" t="str">
        <f t="shared" si="82"/>
        <v>女</v>
      </c>
      <c r="F760" s="7"/>
    </row>
    <row r="761" spans="1:6" ht="30" customHeight="1">
      <c r="A761" s="7">
        <v>759</v>
      </c>
      <c r="B761" s="7" t="str">
        <f>"34542021112013022851259"</f>
        <v>34542021112013022851259</v>
      </c>
      <c r="C761" s="7" t="s">
        <v>17</v>
      </c>
      <c r="D761" s="7" t="str">
        <f>"陈文月"</f>
        <v>陈文月</v>
      </c>
      <c r="E761" s="7" t="str">
        <f aca="true" t="shared" si="83" ref="E761:E824">"女"</f>
        <v>女</v>
      </c>
      <c r="F761" s="7"/>
    </row>
    <row r="762" spans="1:6" ht="30" customHeight="1">
      <c r="A762" s="7">
        <v>760</v>
      </c>
      <c r="B762" s="7" t="str">
        <f>"34542021112013144351263"</f>
        <v>34542021112013144351263</v>
      </c>
      <c r="C762" s="7" t="s">
        <v>17</v>
      </c>
      <c r="D762" s="7" t="str">
        <f>"林坚花"</f>
        <v>林坚花</v>
      </c>
      <c r="E762" s="7" t="str">
        <f t="shared" si="83"/>
        <v>女</v>
      </c>
      <c r="F762" s="7"/>
    </row>
    <row r="763" spans="1:6" ht="30" customHeight="1">
      <c r="A763" s="7">
        <v>761</v>
      </c>
      <c r="B763" s="7" t="str">
        <f>"34542021112013170051264"</f>
        <v>34542021112013170051264</v>
      </c>
      <c r="C763" s="7" t="s">
        <v>17</v>
      </c>
      <c r="D763" s="7" t="str">
        <f>"冯祥谢"</f>
        <v>冯祥谢</v>
      </c>
      <c r="E763" s="7" t="str">
        <f t="shared" si="83"/>
        <v>女</v>
      </c>
      <c r="F763" s="7"/>
    </row>
    <row r="764" spans="1:6" ht="30" customHeight="1">
      <c r="A764" s="7">
        <v>762</v>
      </c>
      <c r="B764" s="7" t="str">
        <f>"34542021112013195051266"</f>
        <v>34542021112013195051266</v>
      </c>
      <c r="C764" s="7" t="s">
        <v>17</v>
      </c>
      <c r="D764" s="7" t="str">
        <f>"郑胜坤"</f>
        <v>郑胜坤</v>
      </c>
      <c r="E764" s="7" t="str">
        <f t="shared" si="83"/>
        <v>女</v>
      </c>
      <c r="F764" s="7"/>
    </row>
    <row r="765" spans="1:6" ht="30" customHeight="1">
      <c r="A765" s="7">
        <v>763</v>
      </c>
      <c r="B765" s="7" t="str">
        <f>"34542021112013300951267"</f>
        <v>34542021112013300951267</v>
      </c>
      <c r="C765" s="7" t="s">
        <v>17</v>
      </c>
      <c r="D765" s="7" t="str">
        <f>"符花青"</f>
        <v>符花青</v>
      </c>
      <c r="E765" s="7" t="str">
        <f t="shared" si="83"/>
        <v>女</v>
      </c>
      <c r="F765" s="7"/>
    </row>
    <row r="766" spans="1:6" ht="30" customHeight="1">
      <c r="A766" s="7">
        <v>764</v>
      </c>
      <c r="B766" s="7" t="str">
        <f>"34542021112013355351270"</f>
        <v>34542021112013355351270</v>
      </c>
      <c r="C766" s="7" t="s">
        <v>17</v>
      </c>
      <c r="D766" s="7" t="str">
        <f>"王石养"</f>
        <v>王石养</v>
      </c>
      <c r="E766" s="7" t="str">
        <f t="shared" si="83"/>
        <v>女</v>
      </c>
      <c r="F766" s="7"/>
    </row>
    <row r="767" spans="1:6" ht="30" customHeight="1">
      <c r="A767" s="7">
        <v>765</v>
      </c>
      <c r="B767" s="7" t="str">
        <f>"34542021112013511351273"</f>
        <v>34542021112013511351273</v>
      </c>
      <c r="C767" s="7" t="s">
        <v>17</v>
      </c>
      <c r="D767" s="7" t="str">
        <f>"郑胜姣"</f>
        <v>郑胜姣</v>
      </c>
      <c r="E767" s="7" t="str">
        <f t="shared" si="83"/>
        <v>女</v>
      </c>
      <c r="F767" s="7"/>
    </row>
    <row r="768" spans="1:6" ht="30" customHeight="1">
      <c r="A768" s="7">
        <v>766</v>
      </c>
      <c r="B768" s="7" t="str">
        <f>"34542021112013530651274"</f>
        <v>34542021112013530651274</v>
      </c>
      <c r="C768" s="7" t="s">
        <v>17</v>
      </c>
      <c r="D768" s="7" t="str">
        <f>"韩金亮"</f>
        <v>韩金亮</v>
      </c>
      <c r="E768" s="7" t="str">
        <f t="shared" si="83"/>
        <v>女</v>
      </c>
      <c r="F768" s="7"/>
    </row>
    <row r="769" spans="1:6" ht="30" customHeight="1">
      <c r="A769" s="7">
        <v>767</v>
      </c>
      <c r="B769" s="7" t="str">
        <f>"34542021112014041051276"</f>
        <v>34542021112014041051276</v>
      </c>
      <c r="C769" s="7" t="s">
        <v>17</v>
      </c>
      <c r="D769" s="7" t="str">
        <f>"朱秀对"</f>
        <v>朱秀对</v>
      </c>
      <c r="E769" s="7" t="str">
        <f t="shared" si="83"/>
        <v>女</v>
      </c>
      <c r="F769" s="7"/>
    </row>
    <row r="770" spans="1:6" ht="30" customHeight="1">
      <c r="A770" s="7">
        <v>768</v>
      </c>
      <c r="B770" s="7" t="str">
        <f>"34542021112014052751278"</f>
        <v>34542021112014052751278</v>
      </c>
      <c r="C770" s="7" t="s">
        <v>17</v>
      </c>
      <c r="D770" s="7" t="str">
        <f>"羊春爱"</f>
        <v>羊春爱</v>
      </c>
      <c r="E770" s="7" t="str">
        <f t="shared" si="83"/>
        <v>女</v>
      </c>
      <c r="F770" s="7"/>
    </row>
    <row r="771" spans="1:6" ht="30" customHeight="1">
      <c r="A771" s="7">
        <v>769</v>
      </c>
      <c r="B771" s="7" t="str">
        <f>"34542021112014083751279"</f>
        <v>34542021112014083751279</v>
      </c>
      <c r="C771" s="7" t="s">
        <v>17</v>
      </c>
      <c r="D771" s="7" t="str">
        <f>"符定震"</f>
        <v>符定震</v>
      </c>
      <c r="E771" s="7" t="str">
        <f t="shared" si="83"/>
        <v>女</v>
      </c>
      <c r="F771" s="7"/>
    </row>
    <row r="772" spans="1:6" ht="30" customHeight="1">
      <c r="A772" s="7">
        <v>770</v>
      </c>
      <c r="B772" s="7" t="str">
        <f>"34542021112014124251281"</f>
        <v>34542021112014124251281</v>
      </c>
      <c r="C772" s="7" t="s">
        <v>17</v>
      </c>
      <c r="D772" s="7" t="str">
        <f>"陈惠敏"</f>
        <v>陈惠敏</v>
      </c>
      <c r="E772" s="7" t="str">
        <f t="shared" si="83"/>
        <v>女</v>
      </c>
      <c r="F772" s="7"/>
    </row>
    <row r="773" spans="1:6" ht="30" customHeight="1">
      <c r="A773" s="7">
        <v>771</v>
      </c>
      <c r="B773" s="7" t="str">
        <f>"34542021112014170451282"</f>
        <v>34542021112014170451282</v>
      </c>
      <c r="C773" s="7" t="s">
        <v>17</v>
      </c>
      <c r="D773" s="7" t="str">
        <f>"石慧玲"</f>
        <v>石慧玲</v>
      </c>
      <c r="E773" s="7" t="str">
        <f t="shared" si="83"/>
        <v>女</v>
      </c>
      <c r="F773" s="7"/>
    </row>
    <row r="774" spans="1:6" ht="30" customHeight="1">
      <c r="A774" s="7">
        <v>772</v>
      </c>
      <c r="B774" s="7" t="str">
        <f>"34542021112014450751286"</f>
        <v>34542021112014450751286</v>
      </c>
      <c r="C774" s="7" t="s">
        <v>17</v>
      </c>
      <c r="D774" s="7" t="str">
        <f>"余琼娇"</f>
        <v>余琼娇</v>
      </c>
      <c r="E774" s="7" t="str">
        <f t="shared" si="83"/>
        <v>女</v>
      </c>
      <c r="F774" s="7"/>
    </row>
    <row r="775" spans="1:6" ht="30" customHeight="1">
      <c r="A775" s="7">
        <v>773</v>
      </c>
      <c r="B775" s="7" t="str">
        <f>"34542021112014474651289"</f>
        <v>34542021112014474651289</v>
      </c>
      <c r="C775" s="7" t="s">
        <v>17</v>
      </c>
      <c r="D775" s="7" t="str">
        <f>"陈井桃"</f>
        <v>陈井桃</v>
      </c>
      <c r="E775" s="7" t="str">
        <f t="shared" si="83"/>
        <v>女</v>
      </c>
      <c r="F775" s="7"/>
    </row>
    <row r="776" spans="1:6" ht="30" customHeight="1">
      <c r="A776" s="7">
        <v>774</v>
      </c>
      <c r="B776" s="7" t="str">
        <f>"34542021112014475151290"</f>
        <v>34542021112014475151290</v>
      </c>
      <c r="C776" s="7" t="s">
        <v>17</v>
      </c>
      <c r="D776" s="7" t="str">
        <f>"羊秀英"</f>
        <v>羊秀英</v>
      </c>
      <c r="E776" s="7" t="str">
        <f t="shared" si="83"/>
        <v>女</v>
      </c>
      <c r="F776" s="7"/>
    </row>
    <row r="777" spans="1:6" ht="30" customHeight="1">
      <c r="A777" s="7">
        <v>775</v>
      </c>
      <c r="B777" s="7" t="str">
        <f>"34542021112014550651292"</f>
        <v>34542021112014550651292</v>
      </c>
      <c r="C777" s="7" t="s">
        <v>17</v>
      </c>
      <c r="D777" s="7" t="str">
        <f>"董军花"</f>
        <v>董军花</v>
      </c>
      <c r="E777" s="7" t="str">
        <f t="shared" si="83"/>
        <v>女</v>
      </c>
      <c r="F777" s="7"/>
    </row>
    <row r="778" spans="1:6" ht="30" customHeight="1">
      <c r="A778" s="7">
        <v>776</v>
      </c>
      <c r="B778" s="7" t="str">
        <f>"34542021112014590151294"</f>
        <v>34542021112014590151294</v>
      </c>
      <c r="C778" s="7" t="s">
        <v>17</v>
      </c>
      <c r="D778" s="7" t="str">
        <f>"何应祝"</f>
        <v>何应祝</v>
      </c>
      <c r="E778" s="7" t="str">
        <f t="shared" si="83"/>
        <v>女</v>
      </c>
      <c r="F778" s="7"/>
    </row>
    <row r="779" spans="1:6" ht="30" customHeight="1">
      <c r="A779" s="7">
        <v>777</v>
      </c>
      <c r="B779" s="7" t="str">
        <f>"34542021112014592851295"</f>
        <v>34542021112014592851295</v>
      </c>
      <c r="C779" s="7" t="s">
        <v>17</v>
      </c>
      <c r="D779" s="7" t="str">
        <f>"黎娟妃"</f>
        <v>黎娟妃</v>
      </c>
      <c r="E779" s="7" t="str">
        <f t="shared" si="83"/>
        <v>女</v>
      </c>
      <c r="F779" s="7"/>
    </row>
    <row r="780" spans="1:6" ht="30" customHeight="1">
      <c r="A780" s="7">
        <v>778</v>
      </c>
      <c r="B780" s="7" t="str">
        <f>"34542021112015002751296"</f>
        <v>34542021112015002751296</v>
      </c>
      <c r="C780" s="7" t="s">
        <v>17</v>
      </c>
      <c r="D780" s="7" t="str">
        <f>"罗明霞"</f>
        <v>罗明霞</v>
      </c>
      <c r="E780" s="7" t="str">
        <f t="shared" si="83"/>
        <v>女</v>
      </c>
      <c r="F780" s="7"/>
    </row>
    <row r="781" spans="1:6" ht="30" customHeight="1">
      <c r="A781" s="7">
        <v>779</v>
      </c>
      <c r="B781" s="7" t="str">
        <f>"34542021112015005851298"</f>
        <v>34542021112015005851298</v>
      </c>
      <c r="C781" s="7" t="s">
        <v>17</v>
      </c>
      <c r="D781" s="7" t="str">
        <f>"李宁启"</f>
        <v>李宁启</v>
      </c>
      <c r="E781" s="7" t="str">
        <f t="shared" si="83"/>
        <v>女</v>
      </c>
      <c r="F781" s="7"/>
    </row>
    <row r="782" spans="1:6" ht="30" customHeight="1">
      <c r="A782" s="7">
        <v>780</v>
      </c>
      <c r="B782" s="7" t="str">
        <f>"34542021112015200551299"</f>
        <v>34542021112015200551299</v>
      </c>
      <c r="C782" s="7" t="s">
        <v>17</v>
      </c>
      <c r="D782" s="7" t="str">
        <f>"张月丽"</f>
        <v>张月丽</v>
      </c>
      <c r="E782" s="7" t="str">
        <f t="shared" si="83"/>
        <v>女</v>
      </c>
      <c r="F782" s="7"/>
    </row>
    <row r="783" spans="1:6" ht="30" customHeight="1">
      <c r="A783" s="7">
        <v>781</v>
      </c>
      <c r="B783" s="7" t="str">
        <f>"34542021112015283551301"</f>
        <v>34542021112015283551301</v>
      </c>
      <c r="C783" s="7" t="s">
        <v>17</v>
      </c>
      <c r="D783" s="7" t="str">
        <f>"何庆坤"</f>
        <v>何庆坤</v>
      </c>
      <c r="E783" s="7" t="str">
        <f t="shared" si="83"/>
        <v>女</v>
      </c>
      <c r="F783" s="7"/>
    </row>
    <row r="784" spans="1:6" ht="30" customHeight="1">
      <c r="A784" s="7">
        <v>782</v>
      </c>
      <c r="B784" s="7" t="str">
        <f>"34542021112015434251302"</f>
        <v>34542021112015434251302</v>
      </c>
      <c r="C784" s="7" t="s">
        <v>17</v>
      </c>
      <c r="D784" s="7" t="str">
        <f>"梁焕彩"</f>
        <v>梁焕彩</v>
      </c>
      <c r="E784" s="7" t="str">
        <f t="shared" si="83"/>
        <v>女</v>
      </c>
      <c r="F784" s="7"/>
    </row>
    <row r="785" spans="1:6" ht="30" customHeight="1">
      <c r="A785" s="7">
        <v>783</v>
      </c>
      <c r="B785" s="7" t="str">
        <f>"34542021112016035251307"</f>
        <v>34542021112016035251307</v>
      </c>
      <c r="C785" s="7" t="s">
        <v>17</v>
      </c>
      <c r="D785" s="7" t="str">
        <f>"叶定沐"</f>
        <v>叶定沐</v>
      </c>
      <c r="E785" s="7" t="str">
        <f t="shared" si="83"/>
        <v>女</v>
      </c>
      <c r="F785" s="7"/>
    </row>
    <row r="786" spans="1:6" ht="30" customHeight="1">
      <c r="A786" s="7">
        <v>784</v>
      </c>
      <c r="B786" s="7" t="str">
        <f>"34542021112016081151309"</f>
        <v>34542021112016081151309</v>
      </c>
      <c r="C786" s="7" t="s">
        <v>17</v>
      </c>
      <c r="D786" s="7" t="str">
        <f>"吴婉妮"</f>
        <v>吴婉妮</v>
      </c>
      <c r="E786" s="7" t="str">
        <f t="shared" si="83"/>
        <v>女</v>
      </c>
      <c r="F786" s="7"/>
    </row>
    <row r="787" spans="1:6" ht="30" customHeight="1">
      <c r="A787" s="7">
        <v>785</v>
      </c>
      <c r="B787" s="7" t="str">
        <f>"34542021112016213051312"</f>
        <v>34542021112016213051312</v>
      </c>
      <c r="C787" s="7" t="s">
        <v>17</v>
      </c>
      <c r="D787" s="7" t="str">
        <f>"黎倩雯"</f>
        <v>黎倩雯</v>
      </c>
      <c r="E787" s="7" t="str">
        <f t="shared" si="83"/>
        <v>女</v>
      </c>
      <c r="F787" s="7"/>
    </row>
    <row r="788" spans="1:6" ht="30" customHeight="1">
      <c r="A788" s="7">
        <v>786</v>
      </c>
      <c r="B788" s="7" t="str">
        <f>"34542021112016313651317"</f>
        <v>34542021112016313651317</v>
      </c>
      <c r="C788" s="7" t="s">
        <v>17</v>
      </c>
      <c r="D788" s="7" t="str">
        <f>"杨永教"</f>
        <v>杨永教</v>
      </c>
      <c r="E788" s="7" t="str">
        <f t="shared" si="83"/>
        <v>女</v>
      </c>
      <c r="F788" s="7"/>
    </row>
    <row r="789" spans="1:6" ht="30" customHeight="1">
      <c r="A789" s="7">
        <v>787</v>
      </c>
      <c r="B789" s="7" t="str">
        <f>"34542021112016332351318"</f>
        <v>34542021112016332351318</v>
      </c>
      <c r="C789" s="7" t="s">
        <v>17</v>
      </c>
      <c r="D789" s="7" t="str">
        <f>"何小丽"</f>
        <v>何小丽</v>
      </c>
      <c r="E789" s="7" t="str">
        <f t="shared" si="83"/>
        <v>女</v>
      </c>
      <c r="F789" s="7"/>
    </row>
    <row r="790" spans="1:6" ht="30" customHeight="1">
      <c r="A790" s="7">
        <v>788</v>
      </c>
      <c r="B790" s="7" t="str">
        <f>"34542021112016455751321"</f>
        <v>34542021112016455751321</v>
      </c>
      <c r="C790" s="7" t="s">
        <v>17</v>
      </c>
      <c r="D790" s="7" t="str">
        <f>"许丽妮"</f>
        <v>许丽妮</v>
      </c>
      <c r="E790" s="7" t="str">
        <f t="shared" si="83"/>
        <v>女</v>
      </c>
      <c r="F790" s="7"/>
    </row>
    <row r="791" spans="1:6" ht="30" customHeight="1">
      <c r="A791" s="7">
        <v>789</v>
      </c>
      <c r="B791" s="7" t="str">
        <f>"34542021112016592451323"</f>
        <v>34542021112016592451323</v>
      </c>
      <c r="C791" s="7" t="s">
        <v>17</v>
      </c>
      <c r="D791" s="7" t="str">
        <f>"符丽婷"</f>
        <v>符丽婷</v>
      </c>
      <c r="E791" s="7" t="str">
        <f t="shared" si="83"/>
        <v>女</v>
      </c>
      <c r="F791" s="7"/>
    </row>
    <row r="792" spans="1:6" ht="30" customHeight="1">
      <c r="A792" s="7">
        <v>790</v>
      </c>
      <c r="B792" s="7" t="str">
        <f>"34542021112017000351324"</f>
        <v>34542021112017000351324</v>
      </c>
      <c r="C792" s="7" t="s">
        <v>17</v>
      </c>
      <c r="D792" s="7" t="str">
        <f>"符桃妹"</f>
        <v>符桃妹</v>
      </c>
      <c r="E792" s="7" t="str">
        <f t="shared" si="83"/>
        <v>女</v>
      </c>
      <c r="F792" s="7"/>
    </row>
    <row r="793" spans="1:6" ht="30" customHeight="1">
      <c r="A793" s="7">
        <v>791</v>
      </c>
      <c r="B793" s="7" t="str">
        <f>"34542021112017042751326"</f>
        <v>34542021112017042751326</v>
      </c>
      <c r="C793" s="7" t="s">
        <v>17</v>
      </c>
      <c r="D793" s="7" t="str">
        <f>"谢正梅"</f>
        <v>谢正梅</v>
      </c>
      <c r="E793" s="7" t="str">
        <f t="shared" si="83"/>
        <v>女</v>
      </c>
      <c r="F793" s="7"/>
    </row>
    <row r="794" spans="1:6" ht="30" customHeight="1">
      <c r="A794" s="7">
        <v>792</v>
      </c>
      <c r="B794" s="7" t="str">
        <f>"34542021112017132051331"</f>
        <v>34542021112017132051331</v>
      </c>
      <c r="C794" s="7" t="s">
        <v>17</v>
      </c>
      <c r="D794" s="7" t="str">
        <f>"林石楼"</f>
        <v>林石楼</v>
      </c>
      <c r="E794" s="7" t="str">
        <f t="shared" si="83"/>
        <v>女</v>
      </c>
      <c r="F794" s="7"/>
    </row>
    <row r="795" spans="1:6" ht="30" customHeight="1">
      <c r="A795" s="7">
        <v>793</v>
      </c>
      <c r="B795" s="7" t="str">
        <f>"34542021112017144951332"</f>
        <v>34542021112017144951332</v>
      </c>
      <c r="C795" s="7" t="s">
        <v>17</v>
      </c>
      <c r="D795" s="7" t="str">
        <f>"陈德燕"</f>
        <v>陈德燕</v>
      </c>
      <c r="E795" s="7" t="str">
        <f t="shared" si="83"/>
        <v>女</v>
      </c>
      <c r="F795" s="7"/>
    </row>
    <row r="796" spans="1:6" ht="30" customHeight="1">
      <c r="A796" s="7">
        <v>794</v>
      </c>
      <c r="B796" s="7" t="str">
        <f>"34542021112017151251333"</f>
        <v>34542021112017151251333</v>
      </c>
      <c r="C796" s="7" t="s">
        <v>17</v>
      </c>
      <c r="D796" s="7" t="str">
        <f>"邱云诗"</f>
        <v>邱云诗</v>
      </c>
      <c r="E796" s="7" t="str">
        <f t="shared" si="83"/>
        <v>女</v>
      </c>
      <c r="F796" s="7"/>
    </row>
    <row r="797" spans="1:6" ht="30" customHeight="1">
      <c r="A797" s="7">
        <v>795</v>
      </c>
      <c r="B797" s="7" t="str">
        <f>"34542021112017200251334"</f>
        <v>34542021112017200251334</v>
      </c>
      <c r="C797" s="7" t="s">
        <v>17</v>
      </c>
      <c r="D797" s="7" t="str">
        <f>"林永霞"</f>
        <v>林永霞</v>
      </c>
      <c r="E797" s="7" t="str">
        <f t="shared" si="83"/>
        <v>女</v>
      </c>
      <c r="F797" s="7"/>
    </row>
    <row r="798" spans="1:6" ht="30" customHeight="1">
      <c r="A798" s="7">
        <v>796</v>
      </c>
      <c r="B798" s="7" t="str">
        <f>"34542021112017223351335"</f>
        <v>34542021112017223351335</v>
      </c>
      <c r="C798" s="7" t="s">
        <v>17</v>
      </c>
      <c r="D798" s="7" t="str">
        <f>"符爱宽"</f>
        <v>符爱宽</v>
      </c>
      <c r="E798" s="7" t="str">
        <f t="shared" si="83"/>
        <v>女</v>
      </c>
      <c r="F798" s="7"/>
    </row>
    <row r="799" spans="1:6" ht="30" customHeight="1">
      <c r="A799" s="7">
        <v>797</v>
      </c>
      <c r="B799" s="7" t="str">
        <f>"34542021112017242551336"</f>
        <v>34542021112017242551336</v>
      </c>
      <c r="C799" s="7" t="s">
        <v>17</v>
      </c>
      <c r="D799" s="7" t="str">
        <f>"许晶"</f>
        <v>许晶</v>
      </c>
      <c r="E799" s="7" t="str">
        <f t="shared" si="83"/>
        <v>女</v>
      </c>
      <c r="F799" s="7"/>
    </row>
    <row r="800" spans="1:6" ht="30" customHeight="1">
      <c r="A800" s="7">
        <v>798</v>
      </c>
      <c r="B800" s="7" t="str">
        <f>"34542021112017251051337"</f>
        <v>34542021112017251051337</v>
      </c>
      <c r="C800" s="7" t="s">
        <v>17</v>
      </c>
      <c r="D800" s="7" t="str">
        <f>"黎小乾"</f>
        <v>黎小乾</v>
      </c>
      <c r="E800" s="7" t="str">
        <f t="shared" si="83"/>
        <v>女</v>
      </c>
      <c r="F800" s="7"/>
    </row>
    <row r="801" spans="1:6" ht="30" customHeight="1">
      <c r="A801" s="7">
        <v>799</v>
      </c>
      <c r="B801" s="7" t="str">
        <f>"34542021112017314851338"</f>
        <v>34542021112017314851338</v>
      </c>
      <c r="C801" s="7" t="s">
        <v>17</v>
      </c>
      <c r="D801" s="7" t="str">
        <f>"羊秀梅"</f>
        <v>羊秀梅</v>
      </c>
      <c r="E801" s="7" t="str">
        <f t="shared" si="83"/>
        <v>女</v>
      </c>
      <c r="F801" s="7"/>
    </row>
    <row r="802" spans="1:6" ht="30" customHeight="1">
      <c r="A802" s="7">
        <v>800</v>
      </c>
      <c r="B802" s="7" t="str">
        <f>"34542021112017332251339"</f>
        <v>34542021112017332251339</v>
      </c>
      <c r="C802" s="7" t="s">
        <v>17</v>
      </c>
      <c r="D802" s="7" t="str">
        <f>"许林香"</f>
        <v>许林香</v>
      </c>
      <c r="E802" s="7" t="str">
        <f t="shared" si="83"/>
        <v>女</v>
      </c>
      <c r="F802" s="7"/>
    </row>
    <row r="803" spans="1:6" ht="30" customHeight="1">
      <c r="A803" s="7">
        <v>801</v>
      </c>
      <c r="B803" s="7" t="str">
        <f>"34542021112017425151343"</f>
        <v>34542021112017425151343</v>
      </c>
      <c r="C803" s="7" t="s">
        <v>17</v>
      </c>
      <c r="D803" s="7" t="str">
        <f>"黎婆秀"</f>
        <v>黎婆秀</v>
      </c>
      <c r="E803" s="7" t="str">
        <f t="shared" si="83"/>
        <v>女</v>
      </c>
      <c r="F803" s="7"/>
    </row>
    <row r="804" spans="1:6" ht="30" customHeight="1">
      <c r="A804" s="7">
        <v>802</v>
      </c>
      <c r="B804" s="7" t="str">
        <f>"34542021112017450351344"</f>
        <v>34542021112017450351344</v>
      </c>
      <c r="C804" s="7" t="s">
        <v>17</v>
      </c>
      <c r="D804" s="7" t="str">
        <f>"许就翠"</f>
        <v>许就翠</v>
      </c>
      <c r="E804" s="7" t="str">
        <f t="shared" si="83"/>
        <v>女</v>
      </c>
      <c r="F804" s="7"/>
    </row>
    <row r="805" spans="1:6" ht="30" customHeight="1">
      <c r="A805" s="7">
        <v>803</v>
      </c>
      <c r="B805" s="7" t="str">
        <f>"34542021112017454951345"</f>
        <v>34542021112017454951345</v>
      </c>
      <c r="C805" s="7" t="s">
        <v>17</v>
      </c>
      <c r="D805" s="7" t="str">
        <f>"吴海瑛"</f>
        <v>吴海瑛</v>
      </c>
      <c r="E805" s="7" t="str">
        <f t="shared" si="83"/>
        <v>女</v>
      </c>
      <c r="F805" s="7"/>
    </row>
    <row r="806" spans="1:6" ht="30" customHeight="1">
      <c r="A806" s="7">
        <v>804</v>
      </c>
      <c r="B806" s="7" t="str">
        <f>"34542021112017481751346"</f>
        <v>34542021112017481751346</v>
      </c>
      <c r="C806" s="7" t="s">
        <v>17</v>
      </c>
      <c r="D806" s="7" t="str">
        <f>"陈惠娟"</f>
        <v>陈惠娟</v>
      </c>
      <c r="E806" s="7" t="str">
        <f t="shared" si="83"/>
        <v>女</v>
      </c>
      <c r="F806" s="7"/>
    </row>
    <row r="807" spans="1:6" ht="30" customHeight="1">
      <c r="A807" s="7">
        <v>805</v>
      </c>
      <c r="B807" s="7" t="str">
        <f>"34542021112018144651352"</f>
        <v>34542021112018144651352</v>
      </c>
      <c r="C807" s="7" t="s">
        <v>17</v>
      </c>
      <c r="D807" s="7" t="str">
        <f>"许春花"</f>
        <v>许春花</v>
      </c>
      <c r="E807" s="7" t="str">
        <f t="shared" si="83"/>
        <v>女</v>
      </c>
      <c r="F807" s="7"/>
    </row>
    <row r="808" spans="1:6" ht="30" customHeight="1">
      <c r="A808" s="7">
        <v>806</v>
      </c>
      <c r="B808" s="7" t="str">
        <f>"34542021112018170351353"</f>
        <v>34542021112018170351353</v>
      </c>
      <c r="C808" s="7" t="s">
        <v>17</v>
      </c>
      <c r="D808" s="7" t="str">
        <f>"李兰妃"</f>
        <v>李兰妃</v>
      </c>
      <c r="E808" s="7" t="str">
        <f t="shared" si="83"/>
        <v>女</v>
      </c>
      <c r="F808" s="7"/>
    </row>
    <row r="809" spans="1:6" ht="30" customHeight="1">
      <c r="A809" s="7">
        <v>807</v>
      </c>
      <c r="B809" s="7" t="str">
        <f>"34542021112018215251354"</f>
        <v>34542021112018215251354</v>
      </c>
      <c r="C809" s="7" t="s">
        <v>17</v>
      </c>
      <c r="D809" s="7" t="str">
        <f>"符桂梅"</f>
        <v>符桂梅</v>
      </c>
      <c r="E809" s="7" t="str">
        <f t="shared" si="83"/>
        <v>女</v>
      </c>
      <c r="F809" s="7"/>
    </row>
    <row r="810" spans="1:6" ht="30" customHeight="1">
      <c r="A810" s="7">
        <v>808</v>
      </c>
      <c r="B810" s="7" t="str">
        <f>"34542021112018234351355"</f>
        <v>34542021112018234351355</v>
      </c>
      <c r="C810" s="7" t="s">
        <v>17</v>
      </c>
      <c r="D810" s="7" t="str">
        <f>"郑丽萍"</f>
        <v>郑丽萍</v>
      </c>
      <c r="E810" s="7" t="str">
        <f t="shared" si="83"/>
        <v>女</v>
      </c>
      <c r="F810" s="7"/>
    </row>
    <row r="811" spans="1:6" ht="30" customHeight="1">
      <c r="A811" s="7">
        <v>809</v>
      </c>
      <c r="B811" s="7" t="str">
        <f>"34542021112018255951356"</f>
        <v>34542021112018255951356</v>
      </c>
      <c r="C811" s="7" t="s">
        <v>17</v>
      </c>
      <c r="D811" s="7" t="str">
        <f>"欧桃英"</f>
        <v>欧桃英</v>
      </c>
      <c r="E811" s="7" t="str">
        <f t="shared" si="83"/>
        <v>女</v>
      </c>
      <c r="F811" s="7"/>
    </row>
    <row r="812" spans="1:6" ht="30" customHeight="1">
      <c r="A812" s="7">
        <v>810</v>
      </c>
      <c r="B812" s="7" t="str">
        <f>"34542021112018331151358"</f>
        <v>34542021112018331151358</v>
      </c>
      <c r="C812" s="7" t="s">
        <v>17</v>
      </c>
      <c r="D812" s="7" t="str">
        <f>"何吉妃"</f>
        <v>何吉妃</v>
      </c>
      <c r="E812" s="7" t="str">
        <f t="shared" si="83"/>
        <v>女</v>
      </c>
      <c r="F812" s="7"/>
    </row>
    <row r="813" spans="1:6" ht="30" customHeight="1">
      <c r="A813" s="7">
        <v>811</v>
      </c>
      <c r="B813" s="7" t="str">
        <f>"34542021112018332951359"</f>
        <v>34542021112018332951359</v>
      </c>
      <c r="C813" s="7" t="s">
        <v>17</v>
      </c>
      <c r="D813" s="7" t="str">
        <f>"何秀玲"</f>
        <v>何秀玲</v>
      </c>
      <c r="E813" s="7" t="str">
        <f t="shared" si="83"/>
        <v>女</v>
      </c>
      <c r="F813" s="7"/>
    </row>
    <row r="814" spans="1:6" ht="30" customHeight="1">
      <c r="A814" s="7">
        <v>812</v>
      </c>
      <c r="B814" s="7" t="str">
        <f>"34542021112018581251367"</f>
        <v>34542021112018581251367</v>
      </c>
      <c r="C814" s="7" t="s">
        <v>17</v>
      </c>
      <c r="D814" s="7" t="str">
        <f>"李秀霞"</f>
        <v>李秀霞</v>
      </c>
      <c r="E814" s="7" t="str">
        <f t="shared" si="83"/>
        <v>女</v>
      </c>
      <c r="F814" s="7"/>
    </row>
    <row r="815" spans="1:6" ht="30" customHeight="1">
      <c r="A815" s="7">
        <v>813</v>
      </c>
      <c r="B815" s="7" t="str">
        <f>"34542021112019071051369"</f>
        <v>34542021112019071051369</v>
      </c>
      <c r="C815" s="7" t="s">
        <v>17</v>
      </c>
      <c r="D815" s="7" t="str">
        <f>"刘初妮"</f>
        <v>刘初妮</v>
      </c>
      <c r="E815" s="7" t="str">
        <f t="shared" si="83"/>
        <v>女</v>
      </c>
      <c r="F815" s="7"/>
    </row>
    <row r="816" spans="1:6" ht="30" customHeight="1">
      <c r="A816" s="7">
        <v>814</v>
      </c>
      <c r="B816" s="7" t="str">
        <f>"34542021112019252451372"</f>
        <v>34542021112019252451372</v>
      </c>
      <c r="C816" s="7" t="s">
        <v>17</v>
      </c>
      <c r="D816" s="7" t="str">
        <f>"陈婆留"</f>
        <v>陈婆留</v>
      </c>
      <c r="E816" s="7" t="str">
        <f t="shared" si="83"/>
        <v>女</v>
      </c>
      <c r="F816" s="7"/>
    </row>
    <row r="817" spans="1:6" ht="30" customHeight="1">
      <c r="A817" s="7">
        <v>815</v>
      </c>
      <c r="B817" s="7" t="str">
        <f>"34542021112019394551374"</f>
        <v>34542021112019394551374</v>
      </c>
      <c r="C817" s="7" t="s">
        <v>17</v>
      </c>
      <c r="D817" s="7" t="str">
        <f>"王新馨"</f>
        <v>王新馨</v>
      </c>
      <c r="E817" s="7" t="str">
        <f t="shared" si="83"/>
        <v>女</v>
      </c>
      <c r="F817" s="7"/>
    </row>
    <row r="818" spans="1:6" ht="30" customHeight="1">
      <c r="A818" s="7">
        <v>816</v>
      </c>
      <c r="B818" s="7" t="str">
        <f>"34542021112019463651375"</f>
        <v>34542021112019463651375</v>
      </c>
      <c r="C818" s="7" t="s">
        <v>17</v>
      </c>
      <c r="D818" s="7" t="str">
        <f>"李美桃"</f>
        <v>李美桃</v>
      </c>
      <c r="E818" s="7" t="str">
        <f t="shared" si="83"/>
        <v>女</v>
      </c>
      <c r="F818" s="7"/>
    </row>
    <row r="819" spans="1:6" ht="30" customHeight="1">
      <c r="A819" s="7">
        <v>817</v>
      </c>
      <c r="B819" s="7" t="str">
        <f>"34542021112019464751376"</f>
        <v>34542021112019464751376</v>
      </c>
      <c r="C819" s="7" t="s">
        <v>17</v>
      </c>
      <c r="D819" s="7" t="str">
        <f>"李初月"</f>
        <v>李初月</v>
      </c>
      <c r="E819" s="7" t="str">
        <f t="shared" si="83"/>
        <v>女</v>
      </c>
      <c r="F819" s="7"/>
    </row>
    <row r="820" spans="1:6" ht="30" customHeight="1">
      <c r="A820" s="7">
        <v>818</v>
      </c>
      <c r="B820" s="7" t="str">
        <f>"34542021112019500451378"</f>
        <v>34542021112019500451378</v>
      </c>
      <c r="C820" s="7" t="s">
        <v>17</v>
      </c>
      <c r="D820" s="7" t="str">
        <f>"罗娅婷"</f>
        <v>罗娅婷</v>
      </c>
      <c r="E820" s="7" t="str">
        <f t="shared" si="83"/>
        <v>女</v>
      </c>
      <c r="F820" s="7"/>
    </row>
    <row r="821" spans="1:6" ht="30" customHeight="1">
      <c r="A821" s="7">
        <v>819</v>
      </c>
      <c r="B821" s="7" t="str">
        <f>"34542021112019530951379"</f>
        <v>34542021112019530951379</v>
      </c>
      <c r="C821" s="7" t="s">
        <v>17</v>
      </c>
      <c r="D821" s="7" t="str">
        <f>"羊秋鸾"</f>
        <v>羊秋鸾</v>
      </c>
      <c r="E821" s="7" t="str">
        <f t="shared" si="83"/>
        <v>女</v>
      </c>
      <c r="F821" s="7"/>
    </row>
    <row r="822" spans="1:6" ht="30" customHeight="1">
      <c r="A822" s="7">
        <v>820</v>
      </c>
      <c r="B822" s="7" t="str">
        <f>"34542021112020004251381"</f>
        <v>34542021112020004251381</v>
      </c>
      <c r="C822" s="7" t="s">
        <v>17</v>
      </c>
      <c r="D822" s="7" t="str">
        <f>"符美艳"</f>
        <v>符美艳</v>
      </c>
      <c r="E822" s="7" t="str">
        <f t="shared" si="83"/>
        <v>女</v>
      </c>
      <c r="F822" s="7"/>
    </row>
    <row r="823" spans="1:6" ht="30" customHeight="1">
      <c r="A823" s="7">
        <v>821</v>
      </c>
      <c r="B823" s="7" t="str">
        <f>"34542021112020143251383"</f>
        <v>34542021112020143251383</v>
      </c>
      <c r="C823" s="7" t="s">
        <v>17</v>
      </c>
      <c r="D823" s="7" t="str">
        <f>"陈婆翠"</f>
        <v>陈婆翠</v>
      </c>
      <c r="E823" s="7" t="str">
        <f t="shared" si="83"/>
        <v>女</v>
      </c>
      <c r="F823" s="7"/>
    </row>
    <row r="824" spans="1:6" ht="30" customHeight="1">
      <c r="A824" s="7">
        <v>822</v>
      </c>
      <c r="B824" s="7" t="str">
        <f>"34542021112020153051384"</f>
        <v>34542021112020153051384</v>
      </c>
      <c r="C824" s="7" t="s">
        <v>17</v>
      </c>
      <c r="D824" s="7" t="str">
        <f>"周丹丹"</f>
        <v>周丹丹</v>
      </c>
      <c r="E824" s="7" t="str">
        <f t="shared" si="83"/>
        <v>女</v>
      </c>
      <c r="F824" s="7"/>
    </row>
    <row r="825" spans="1:6" ht="30" customHeight="1">
      <c r="A825" s="7">
        <v>823</v>
      </c>
      <c r="B825" s="7" t="str">
        <f>"34542021112020165151385"</f>
        <v>34542021112020165151385</v>
      </c>
      <c r="C825" s="7" t="s">
        <v>17</v>
      </c>
      <c r="D825" s="7" t="str">
        <f>"肖馥秀"</f>
        <v>肖馥秀</v>
      </c>
      <c r="E825" s="7" t="str">
        <f aca="true" t="shared" si="84" ref="E825:E838">"女"</f>
        <v>女</v>
      </c>
      <c r="F825" s="7"/>
    </row>
    <row r="826" spans="1:6" ht="30" customHeight="1">
      <c r="A826" s="7">
        <v>824</v>
      </c>
      <c r="B826" s="7" t="str">
        <f>"34542021112020242551387"</f>
        <v>34542021112020242551387</v>
      </c>
      <c r="C826" s="7" t="s">
        <v>17</v>
      </c>
      <c r="D826" s="7" t="str">
        <f>"简原美"</f>
        <v>简原美</v>
      </c>
      <c r="E826" s="7" t="str">
        <f t="shared" si="84"/>
        <v>女</v>
      </c>
      <c r="F826" s="7"/>
    </row>
    <row r="827" spans="1:6" ht="30" customHeight="1">
      <c r="A827" s="7">
        <v>825</v>
      </c>
      <c r="B827" s="7" t="str">
        <f>"34542021112020251451388"</f>
        <v>34542021112020251451388</v>
      </c>
      <c r="C827" s="7" t="s">
        <v>17</v>
      </c>
      <c r="D827" s="7" t="str">
        <f>"谢伟乾"</f>
        <v>谢伟乾</v>
      </c>
      <c r="E827" s="7" t="str">
        <f t="shared" si="84"/>
        <v>女</v>
      </c>
      <c r="F827" s="7"/>
    </row>
    <row r="828" spans="1:6" ht="30" customHeight="1">
      <c r="A828" s="7">
        <v>826</v>
      </c>
      <c r="B828" s="7" t="str">
        <f>"34542021112020404451391"</f>
        <v>34542021112020404451391</v>
      </c>
      <c r="C828" s="7" t="s">
        <v>17</v>
      </c>
      <c r="D828" s="7" t="str">
        <f>"黄秀维"</f>
        <v>黄秀维</v>
      </c>
      <c r="E828" s="7" t="str">
        <f t="shared" si="84"/>
        <v>女</v>
      </c>
      <c r="F828" s="7"/>
    </row>
    <row r="829" spans="1:6" ht="30" customHeight="1">
      <c r="A829" s="7">
        <v>827</v>
      </c>
      <c r="B829" s="7" t="str">
        <f>"34542021112020450051394"</f>
        <v>34542021112020450051394</v>
      </c>
      <c r="C829" s="7" t="s">
        <v>17</v>
      </c>
      <c r="D829" s="7" t="str">
        <f>"陈雪露"</f>
        <v>陈雪露</v>
      </c>
      <c r="E829" s="7" t="str">
        <f t="shared" si="84"/>
        <v>女</v>
      </c>
      <c r="F829" s="7"/>
    </row>
    <row r="830" spans="1:6" ht="30" customHeight="1">
      <c r="A830" s="7">
        <v>828</v>
      </c>
      <c r="B830" s="7" t="str">
        <f>"34542021112020484351395"</f>
        <v>34542021112020484351395</v>
      </c>
      <c r="C830" s="7" t="s">
        <v>17</v>
      </c>
      <c r="D830" s="7" t="str">
        <f>"高秀妹"</f>
        <v>高秀妹</v>
      </c>
      <c r="E830" s="7" t="str">
        <f t="shared" si="84"/>
        <v>女</v>
      </c>
      <c r="F830" s="7"/>
    </row>
    <row r="831" spans="1:6" ht="30" customHeight="1">
      <c r="A831" s="7">
        <v>829</v>
      </c>
      <c r="B831" s="7" t="str">
        <f>"34542021112020490251396"</f>
        <v>34542021112020490251396</v>
      </c>
      <c r="C831" s="7" t="s">
        <v>17</v>
      </c>
      <c r="D831" s="7" t="str">
        <f>"杨雄花"</f>
        <v>杨雄花</v>
      </c>
      <c r="E831" s="7" t="str">
        <f t="shared" si="84"/>
        <v>女</v>
      </c>
      <c r="F831" s="7"/>
    </row>
    <row r="832" spans="1:6" ht="30" customHeight="1">
      <c r="A832" s="7">
        <v>830</v>
      </c>
      <c r="B832" s="7" t="str">
        <f>"34542021112020512351397"</f>
        <v>34542021112020512351397</v>
      </c>
      <c r="C832" s="7" t="s">
        <v>17</v>
      </c>
      <c r="D832" s="7" t="str">
        <f>"简树香"</f>
        <v>简树香</v>
      </c>
      <c r="E832" s="7" t="str">
        <f t="shared" si="84"/>
        <v>女</v>
      </c>
      <c r="F832" s="7"/>
    </row>
    <row r="833" spans="1:6" ht="30" customHeight="1">
      <c r="A833" s="7">
        <v>831</v>
      </c>
      <c r="B833" s="7" t="str">
        <f>"34542021112020535851402"</f>
        <v>34542021112020535851402</v>
      </c>
      <c r="C833" s="7" t="s">
        <v>17</v>
      </c>
      <c r="D833" s="7" t="str">
        <f>"吴三花"</f>
        <v>吴三花</v>
      </c>
      <c r="E833" s="7" t="str">
        <f t="shared" si="84"/>
        <v>女</v>
      </c>
      <c r="F833" s="7"/>
    </row>
    <row r="834" spans="1:6" ht="30" customHeight="1">
      <c r="A834" s="7">
        <v>832</v>
      </c>
      <c r="B834" s="7" t="str">
        <f>"34542021112020591751405"</f>
        <v>34542021112020591751405</v>
      </c>
      <c r="C834" s="7" t="s">
        <v>17</v>
      </c>
      <c r="D834" s="7" t="str">
        <f>"许莲霞"</f>
        <v>许莲霞</v>
      </c>
      <c r="E834" s="7" t="str">
        <f t="shared" si="84"/>
        <v>女</v>
      </c>
      <c r="F834" s="7"/>
    </row>
    <row r="835" spans="1:6" ht="30" customHeight="1">
      <c r="A835" s="7">
        <v>833</v>
      </c>
      <c r="B835" s="7" t="str">
        <f>"34542021112021111851408"</f>
        <v>34542021112021111851408</v>
      </c>
      <c r="C835" s="7" t="s">
        <v>17</v>
      </c>
      <c r="D835" s="7" t="str">
        <f>"谢咏兰"</f>
        <v>谢咏兰</v>
      </c>
      <c r="E835" s="7" t="str">
        <f t="shared" si="84"/>
        <v>女</v>
      </c>
      <c r="F835" s="7"/>
    </row>
    <row r="836" spans="1:6" ht="30" customHeight="1">
      <c r="A836" s="7">
        <v>834</v>
      </c>
      <c r="B836" s="7" t="str">
        <f>"34542021112021115851409"</f>
        <v>34542021112021115851409</v>
      </c>
      <c r="C836" s="7" t="s">
        <v>17</v>
      </c>
      <c r="D836" s="7" t="str">
        <f>"杨雄桃"</f>
        <v>杨雄桃</v>
      </c>
      <c r="E836" s="7" t="str">
        <f t="shared" si="84"/>
        <v>女</v>
      </c>
      <c r="F836" s="7"/>
    </row>
    <row r="837" spans="1:6" ht="30" customHeight="1">
      <c r="A837" s="7">
        <v>835</v>
      </c>
      <c r="B837" s="7" t="str">
        <f>"34542021112021160851411"</f>
        <v>34542021112021160851411</v>
      </c>
      <c r="C837" s="7" t="s">
        <v>17</v>
      </c>
      <c r="D837" s="7" t="str">
        <f>"刘应益"</f>
        <v>刘应益</v>
      </c>
      <c r="E837" s="7" t="str">
        <f t="shared" si="84"/>
        <v>女</v>
      </c>
      <c r="F837" s="7"/>
    </row>
    <row r="838" spans="1:6" ht="30" customHeight="1">
      <c r="A838" s="7">
        <v>836</v>
      </c>
      <c r="B838" s="7" t="str">
        <f>"34542021112021260351412"</f>
        <v>34542021112021260351412</v>
      </c>
      <c r="C838" s="7" t="s">
        <v>17</v>
      </c>
      <c r="D838" s="7" t="str">
        <f>"高秀育"</f>
        <v>高秀育</v>
      </c>
      <c r="E838" s="7" t="str">
        <f t="shared" si="84"/>
        <v>女</v>
      </c>
      <c r="F838" s="7"/>
    </row>
    <row r="839" spans="1:6" ht="30" customHeight="1">
      <c r="A839" s="7">
        <v>837</v>
      </c>
      <c r="B839" s="7" t="str">
        <f>"34542021112021441051418"</f>
        <v>34542021112021441051418</v>
      </c>
      <c r="C839" s="7" t="s">
        <v>17</v>
      </c>
      <c r="D839" s="7" t="str">
        <f>"许旭明"</f>
        <v>许旭明</v>
      </c>
      <c r="E839" s="7" t="str">
        <f>"男"</f>
        <v>男</v>
      </c>
      <c r="F839" s="7"/>
    </row>
    <row r="840" spans="1:6" ht="30" customHeight="1">
      <c r="A840" s="7">
        <v>838</v>
      </c>
      <c r="B840" s="7" t="str">
        <f>"34542021112021443951419"</f>
        <v>34542021112021443951419</v>
      </c>
      <c r="C840" s="7" t="s">
        <v>17</v>
      </c>
      <c r="D840" s="7" t="str">
        <f>"符多燕"</f>
        <v>符多燕</v>
      </c>
      <c r="E840" s="7" t="str">
        <f aca="true" t="shared" si="85" ref="E840:E898">"女"</f>
        <v>女</v>
      </c>
      <c r="F840" s="7"/>
    </row>
    <row r="841" spans="1:6" ht="30" customHeight="1">
      <c r="A841" s="7">
        <v>839</v>
      </c>
      <c r="B841" s="7" t="str">
        <f>"34542021112021461351420"</f>
        <v>34542021112021461351420</v>
      </c>
      <c r="C841" s="7" t="s">
        <v>17</v>
      </c>
      <c r="D841" s="7" t="str">
        <f>"邓春妍"</f>
        <v>邓春妍</v>
      </c>
      <c r="E841" s="7" t="str">
        <f t="shared" si="85"/>
        <v>女</v>
      </c>
      <c r="F841" s="7"/>
    </row>
    <row r="842" spans="1:6" ht="30" customHeight="1">
      <c r="A842" s="7">
        <v>840</v>
      </c>
      <c r="B842" s="7" t="str">
        <f>"34542021112021482751422"</f>
        <v>34542021112021482751422</v>
      </c>
      <c r="C842" s="7" t="s">
        <v>17</v>
      </c>
      <c r="D842" s="7" t="str">
        <f>"林新艳"</f>
        <v>林新艳</v>
      </c>
      <c r="E842" s="7" t="str">
        <f t="shared" si="85"/>
        <v>女</v>
      </c>
      <c r="F842" s="7"/>
    </row>
    <row r="843" spans="1:6" ht="30" customHeight="1">
      <c r="A843" s="7">
        <v>841</v>
      </c>
      <c r="B843" s="7" t="str">
        <f>"34542021112021583351423"</f>
        <v>34542021112021583351423</v>
      </c>
      <c r="C843" s="7" t="s">
        <v>17</v>
      </c>
      <c r="D843" s="7" t="str">
        <f>"梁竹"</f>
        <v>梁竹</v>
      </c>
      <c r="E843" s="7" t="str">
        <f t="shared" si="85"/>
        <v>女</v>
      </c>
      <c r="F843" s="7"/>
    </row>
    <row r="844" spans="1:6" ht="30" customHeight="1">
      <c r="A844" s="7">
        <v>842</v>
      </c>
      <c r="B844" s="7" t="str">
        <f>"34542021112022014051425"</f>
        <v>34542021112022014051425</v>
      </c>
      <c r="C844" s="7" t="s">
        <v>17</v>
      </c>
      <c r="D844" s="7" t="str">
        <f>"羊金丹"</f>
        <v>羊金丹</v>
      </c>
      <c r="E844" s="7" t="str">
        <f t="shared" si="85"/>
        <v>女</v>
      </c>
      <c r="F844" s="7"/>
    </row>
    <row r="845" spans="1:6" ht="30" customHeight="1">
      <c r="A845" s="7">
        <v>843</v>
      </c>
      <c r="B845" s="7" t="str">
        <f>"34542021112022051051426"</f>
        <v>34542021112022051051426</v>
      </c>
      <c r="C845" s="7" t="s">
        <v>17</v>
      </c>
      <c r="D845" s="7" t="str">
        <f>"薛德桃"</f>
        <v>薛德桃</v>
      </c>
      <c r="E845" s="7" t="str">
        <f t="shared" si="85"/>
        <v>女</v>
      </c>
      <c r="F845" s="7"/>
    </row>
    <row r="846" spans="1:6" ht="30" customHeight="1">
      <c r="A846" s="7">
        <v>844</v>
      </c>
      <c r="B846" s="7" t="str">
        <f>"34542021112022115451427"</f>
        <v>34542021112022115451427</v>
      </c>
      <c r="C846" s="7" t="s">
        <v>17</v>
      </c>
      <c r="D846" s="7" t="str">
        <f>"王春月"</f>
        <v>王春月</v>
      </c>
      <c r="E846" s="7" t="str">
        <f t="shared" si="85"/>
        <v>女</v>
      </c>
      <c r="F846" s="7"/>
    </row>
    <row r="847" spans="1:6" ht="30" customHeight="1">
      <c r="A847" s="7">
        <v>845</v>
      </c>
      <c r="B847" s="7" t="str">
        <f>"34542021112022154251428"</f>
        <v>34542021112022154251428</v>
      </c>
      <c r="C847" s="7" t="s">
        <v>17</v>
      </c>
      <c r="D847" s="7" t="str">
        <f>"何开玉"</f>
        <v>何开玉</v>
      </c>
      <c r="E847" s="7" t="str">
        <f t="shared" si="85"/>
        <v>女</v>
      </c>
      <c r="F847" s="7"/>
    </row>
    <row r="848" spans="1:6" ht="30" customHeight="1">
      <c r="A848" s="7">
        <v>846</v>
      </c>
      <c r="B848" s="7" t="str">
        <f>"34542021112022223851432"</f>
        <v>34542021112022223851432</v>
      </c>
      <c r="C848" s="7" t="s">
        <v>17</v>
      </c>
      <c r="D848" s="7" t="str">
        <f>"符启璃"</f>
        <v>符启璃</v>
      </c>
      <c r="E848" s="7" t="str">
        <f t="shared" si="85"/>
        <v>女</v>
      </c>
      <c r="F848" s="7"/>
    </row>
    <row r="849" spans="1:6" ht="30" customHeight="1">
      <c r="A849" s="7">
        <v>847</v>
      </c>
      <c r="B849" s="7" t="str">
        <f>"34542021112022301051435"</f>
        <v>34542021112022301051435</v>
      </c>
      <c r="C849" s="7" t="s">
        <v>17</v>
      </c>
      <c r="D849" s="7" t="str">
        <f>"吴秀秀"</f>
        <v>吴秀秀</v>
      </c>
      <c r="E849" s="7" t="str">
        <f t="shared" si="85"/>
        <v>女</v>
      </c>
      <c r="F849" s="7"/>
    </row>
    <row r="850" spans="1:6" ht="30" customHeight="1">
      <c r="A850" s="7">
        <v>848</v>
      </c>
      <c r="B850" s="7" t="str">
        <f>"34542021112022334751436"</f>
        <v>34542021112022334751436</v>
      </c>
      <c r="C850" s="7" t="s">
        <v>17</v>
      </c>
      <c r="D850" s="7" t="str">
        <f>"蔡美玲"</f>
        <v>蔡美玲</v>
      </c>
      <c r="E850" s="7" t="str">
        <f t="shared" si="85"/>
        <v>女</v>
      </c>
      <c r="F850" s="7"/>
    </row>
    <row r="851" spans="1:6" ht="30" customHeight="1">
      <c r="A851" s="7">
        <v>849</v>
      </c>
      <c r="B851" s="7" t="str">
        <f>"34542021112023005151443"</f>
        <v>34542021112023005151443</v>
      </c>
      <c r="C851" s="7" t="s">
        <v>17</v>
      </c>
      <c r="D851" s="7" t="str">
        <f>"何开丽"</f>
        <v>何开丽</v>
      </c>
      <c r="E851" s="7" t="str">
        <f t="shared" si="85"/>
        <v>女</v>
      </c>
      <c r="F851" s="7"/>
    </row>
    <row r="852" spans="1:6" ht="30" customHeight="1">
      <c r="A852" s="7">
        <v>850</v>
      </c>
      <c r="B852" s="7" t="str">
        <f>"34542021112023150551448"</f>
        <v>34542021112023150551448</v>
      </c>
      <c r="C852" s="7" t="s">
        <v>17</v>
      </c>
      <c r="D852" s="7" t="str">
        <f>"郭学翠"</f>
        <v>郭学翠</v>
      </c>
      <c r="E852" s="7" t="str">
        <f t="shared" si="85"/>
        <v>女</v>
      </c>
      <c r="F852" s="7"/>
    </row>
    <row r="853" spans="1:6" ht="30" customHeight="1">
      <c r="A853" s="7">
        <v>851</v>
      </c>
      <c r="B853" s="7" t="str">
        <f>"34542021112100462351453"</f>
        <v>34542021112100462351453</v>
      </c>
      <c r="C853" s="7" t="s">
        <v>17</v>
      </c>
      <c r="D853" s="7" t="str">
        <f>"蔡安娜"</f>
        <v>蔡安娜</v>
      </c>
      <c r="E853" s="7" t="str">
        <f t="shared" si="85"/>
        <v>女</v>
      </c>
      <c r="F853" s="7"/>
    </row>
    <row r="854" spans="1:6" ht="30" customHeight="1">
      <c r="A854" s="7">
        <v>852</v>
      </c>
      <c r="B854" s="7" t="str">
        <f>"34542021112108285651460"</f>
        <v>34542021112108285651460</v>
      </c>
      <c r="C854" s="7" t="s">
        <v>17</v>
      </c>
      <c r="D854" s="7" t="str">
        <f>"陈玉秀"</f>
        <v>陈玉秀</v>
      </c>
      <c r="E854" s="7" t="str">
        <f t="shared" si="85"/>
        <v>女</v>
      </c>
      <c r="F854" s="7"/>
    </row>
    <row r="855" spans="1:6" ht="30" customHeight="1">
      <c r="A855" s="7">
        <v>853</v>
      </c>
      <c r="B855" s="7" t="str">
        <f>"34542021112108345851461"</f>
        <v>34542021112108345851461</v>
      </c>
      <c r="C855" s="7" t="s">
        <v>17</v>
      </c>
      <c r="D855" s="7" t="str">
        <f>"谢菊精"</f>
        <v>谢菊精</v>
      </c>
      <c r="E855" s="7" t="str">
        <f t="shared" si="85"/>
        <v>女</v>
      </c>
      <c r="F855" s="7"/>
    </row>
    <row r="856" spans="1:6" ht="30" customHeight="1">
      <c r="A856" s="7">
        <v>854</v>
      </c>
      <c r="B856" s="7" t="str">
        <f>"34542021112108432851463"</f>
        <v>34542021112108432851463</v>
      </c>
      <c r="C856" s="7" t="s">
        <v>17</v>
      </c>
      <c r="D856" s="7" t="str">
        <f>"陈月美"</f>
        <v>陈月美</v>
      </c>
      <c r="E856" s="7" t="str">
        <f t="shared" si="85"/>
        <v>女</v>
      </c>
      <c r="F856" s="7"/>
    </row>
    <row r="857" spans="1:6" ht="30" customHeight="1">
      <c r="A857" s="7">
        <v>855</v>
      </c>
      <c r="B857" s="7" t="str">
        <f>"34542021112108490151464"</f>
        <v>34542021112108490151464</v>
      </c>
      <c r="C857" s="7" t="s">
        <v>17</v>
      </c>
      <c r="D857" s="7" t="str">
        <f>"梁冬兰"</f>
        <v>梁冬兰</v>
      </c>
      <c r="E857" s="7" t="str">
        <f t="shared" si="85"/>
        <v>女</v>
      </c>
      <c r="F857" s="7"/>
    </row>
    <row r="858" spans="1:6" ht="30" customHeight="1">
      <c r="A858" s="7">
        <v>856</v>
      </c>
      <c r="B858" s="7" t="str">
        <f>"34542021112109020851469"</f>
        <v>34542021112109020851469</v>
      </c>
      <c r="C858" s="7" t="s">
        <v>17</v>
      </c>
      <c r="D858" s="7" t="str">
        <f>"陈君妹"</f>
        <v>陈君妹</v>
      </c>
      <c r="E858" s="7" t="str">
        <f t="shared" si="85"/>
        <v>女</v>
      </c>
      <c r="F858" s="7"/>
    </row>
    <row r="859" spans="1:6" ht="30" customHeight="1">
      <c r="A859" s="7">
        <v>857</v>
      </c>
      <c r="B859" s="7" t="str">
        <f>"34542021112109033851470"</f>
        <v>34542021112109033851470</v>
      </c>
      <c r="C859" s="7" t="s">
        <v>17</v>
      </c>
      <c r="D859" s="7" t="str">
        <f>"林景菊"</f>
        <v>林景菊</v>
      </c>
      <c r="E859" s="7" t="str">
        <f t="shared" si="85"/>
        <v>女</v>
      </c>
      <c r="F859" s="7"/>
    </row>
    <row r="860" spans="1:6" ht="30" customHeight="1">
      <c r="A860" s="7">
        <v>858</v>
      </c>
      <c r="B860" s="7" t="str">
        <f>"34542021112109053051472"</f>
        <v>34542021112109053051472</v>
      </c>
      <c r="C860" s="7" t="s">
        <v>17</v>
      </c>
      <c r="D860" s="7" t="str">
        <f>"符美萱"</f>
        <v>符美萱</v>
      </c>
      <c r="E860" s="7" t="str">
        <f t="shared" si="85"/>
        <v>女</v>
      </c>
      <c r="F860" s="7"/>
    </row>
    <row r="861" spans="1:6" ht="30" customHeight="1">
      <c r="A861" s="7">
        <v>859</v>
      </c>
      <c r="B861" s="7" t="str">
        <f>"34542021112109112851473"</f>
        <v>34542021112109112851473</v>
      </c>
      <c r="C861" s="7" t="s">
        <v>17</v>
      </c>
      <c r="D861" s="7" t="str">
        <f>"叶芳婕"</f>
        <v>叶芳婕</v>
      </c>
      <c r="E861" s="7" t="str">
        <f t="shared" si="85"/>
        <v>女</v>
      </c>
      <c r="F861" s="7"/>
    </row>
    <row r="862" spans="1:6" ht="30" customHeight="1">
      <c r="A862" s="7">
        <v>860</v>
      </c>
      <c r="B862" s="7" t="str">
        <f>"34542021112109131051474"</f>
        <v>34542021112109131051474</v>
      </c>
      <c r="C862" s="7" t="s">
        <v>17</v>
      </c>
      <c r="D862" s="7" t="str">
        <f>"韩秋丽"</f>
        <v>韩秋丽</v>
      </c>
      <c r="E862" s="7" t="str">
        <f t="shared" si="85"/>
        <v>女</v>
      </c>
      <c r="F862" s="7"/>
    </row>
    <row r="863" spans="1:6" ht="30" customHeight="1">
      <c r="A863" s="7">
        <v>861</v>
      </c>
      <c r="B863" s="7" t="str">
        <f>"34542021112109215151475"</f>
        <v>34542021112109215151475</v>
      </c>
      <c r="C863" s="7" t="s">
        <v>17</v>
      </c>
      <c r="D863" s="7" t="str">
        <f>"万吉妹"</f>
        <v>万吉妹</v>
      </c>
      <c r="E863" s="7" t="str">
        <f t="shared" si="85"/>
        <v>女</v>
      </c>
      <c r="F863" s="7"/>
    </row>
    <row r="864" spans="1:6" ht="30" customHeight="1">
      <c r="A864" s="7">
        <v>862</v>
      </c>
      <c r="B864" s="7" t="str">
        <f>"34542021112109491551481"</f>
        <v>34542021112109491551481</v>
      </c>
      <c r="C864" s="7" t="s">
        <v>17</v>
      </c>
      <c r="D864" s="7" t="str">
        <f>"李桃红"</f>
        <v>李桃红</v>
      </c>
      <c r="E864" s="7" t="str">
        <f t="shared" si="85"/>
        <v>女</v>
      </c>
      <c r="F864" s="7"/>
    </row>
    <row r="865" spans="1:6" ht="30" customHeight="1">
      <c r="A865" s="7">
        <v>863</v>
      </c>
      <c r="B865" s="7" t="str">
        <f>"34542021112110114251486"</f>
        <v>34542021112110114251486</v>
      </c>
      <c r="C865" s="7" t="s">
        <v>17</v>
      </c>
      <c r="D865" s="7" t="str">
        <f>"王慧玲"</f>
        <v>王慧玲</v>
      </c>
      <c r="E865" s="7" t="str">
        <f t="shared" si="85"/>
        <v>女</v>
      </c>
      <c r="F865" s="7"/>
    </row>
    <row r="866" spans="1:6" ht="30" customHeight="1">
      <c r="A866" s="7">
        <v>864</v>
      </c>
      <c r="B866" s="7" t="str">
        <f>"34542021112110140151488"</f>
        <v>34542021112110140151488</v>
      </c>
      <c r="C866" s="7" t="s">
        <v>17</v>
      </c>
      <c r="D866" s="7" t="str">
        <f>"李庆彩"</f>
        <v>李庆彩</v>
      </c>
      <c r="E866" s="7" t="str">
        <f t="shared" si="85"/>
        <v>女</v>
      </c>
      <c r="F866" s="7"/>
    </row>
    <row r="867" spans="1:6" ht="30" customHeight="1">
      <c r="A867" s="7">
        <v>865</v>
      </c>
      <c r="B867" s="7" t="str">
        <f>"34542021112110184351491"</f>
        <v>34542021112110184351491</v>
      </c>
      <c r="C867" s="7" t="s">
        <v>17</v>
      </c>
      <c r="D867" s="7" t="str">
        <f>"梁克娜"</f>
        <v>梁克娜</v>
      </c>
      <c r="E867" s="7" t="str">
        <f t="shared" si="85"/>
        <v>女</v>
      </c>
      <c r="F867" s="7"/>
    </row>
    <row r="868" spans="1:6" ht="30" customHeight="1">
      <c r="A868" s="7">
        <v>866</v>
      </c>
      <c r="B868" s="7" t="str">
        <f>"34542021112110310951497"</f>
        <v>34542021112110310951497</v>
      </c>
      <c r="C868" s="7" t="s">
        <v>17</v>
      </c>
      <c r="D868" s="7" t="str">
        <f>"王爱香"</f>
        <v>王爱香</v>
      </c>
      <c r="E868" s="7" t="str">
        <f t="shared" si="85"/>
        <v>女</v>
      </c>
      <c r="F868" s="7"/>
    </row>
    <row r="869" spans="1:6" ht="30" customHeight="1">
      <c r="A869" s="7">
        <v>867</v>
      </c>
      <c r="B869" s="7" t="str">
        <f>"34542021112111010751502"</f>
        <v>34542021112111010751502</v>
      </c>
      <c r="C869" s="7" t="s">
        <v>17</v>
      </c>
      <c r="D869" s="7" t="str">
        <f>"欧美侬"</f>
        <v>欧美侬</v>
      </c>
      <c r="E869" s="7" t="str">
        <f t="shared" si="85"/>
        <v>女</v>
      </c>
      <c r="F869" s="7"/>
    </row>
    <row r="870" spans="1:6" ht="30" customHeight="1">
      <c r="A870" s="7">
        <v>868</v>
      </c>
      <c r="B870" s="7" t="str">
        <f>"34542021112111230251510"</f>
        <v>34542021112111230251510</v>
      </c>
      <c r="C870" s="7" t="s">
        <v>17</v>
      </c>
      <c r="D870" s="7" t="str">
        <f>"张彩秀"</f>
        <v>张彩秀</v>
      </c>
      <c r="E870" s="7" t="str">
        <f t="shared" si="85"/>
        <v>女</v>
      </c>
      <c r="F870" s="7"/>
    </row>
    <row r="871" spans="1:6" ht="30" customHeight="1">
      <c r="A871" s="7">
        <v>869</v>
      </c>
      <c r="B871" s="7" t="str">
        <f>"34542021112111265751512"</f>
        <v>34542021112111265751512</v>
      </c>
      <c r="C871" s="7" t="s">
        <v>17</v>
      </c>
      <c r="D871" s="7" t="str">
        <f>"何秀玲"</f>
        <v>何秀玲</v>
      </c>
      <c r="E871" s="7" t="str">
        <f t="shared" si="85"/>
        <v>女</v>
      </c>
      <c r="F871" s="7"/>
    </row>
    <row r="872" spans="1:6" ht="30" customHeight="1">
      <c r="A872" s="7">
        <v>870</v>
      </c>
      <c r="B872" s="7" t="str">
        <f>"34542021112111280051513"</f>
        <v>34542021112111280051513</v>
      </c>
      <c r="C872" s="7" t="s">
        <v>17</v>
      </c>
      <c r="D872" s="7" t="str">
        <f>"吴春燕"</f>
        <v>吴春燕</v>
      </c>
      <c r="E872" s="7" t="str">
        <f t="shared" si="85"/>
        <v>女</v>
      </c>
      <c r="F872" s="7"/>
    </row>
    <row r="873" spans="1:6" ht="30" customHeight="1">
      <c r="A873" s="7">
        <v>871</v>
      </c>
      <c r="B873" s="7" t="str">
        <f>"34542021112111444951515"</f>
        <v>34542021112111444951515</v>
      </c>
      <c r="C873" s="7" t="s">
        <v>17</v>
      </c>
      <c r="D873" s="7" t="str">
        <f>"李永妃"</f>
        <v>李永妃</v>
      </c>
      <c r="E873" s="7" t="str">
        <f t="shared" si="85"/>
        <v>女</v>
      </c>
      <c r="F873" s="7"/>
    </row>
    <row r="874" spans="1:6" ht="30" customHeight="1">
      <c r="A874" s="7">
        <v>872</v>
      </c>
      <c r="B874" s="7" t="str">
        <f>"34542021112111525951516"</f>
        <v>34542021112111525951516</v>
      </c>
      <c r="C874" s="7" t="s">
        <v>17</v>
      </c>
      <c r="D874" s="7" t="str">
        <f>"杨秀燕"</f>
        <v>杨秀燕</v>
      </c>
      <c r="E874" s="7" t="str">
        <f t="shared" si="85"/>
        <v>女</v>
      </c>
      <c r="F874" s="7"/>
    </row>
    <row r="875" spans="1:6" ht="30" customHeight="1">
      <c r="A875" s="7">
        <v>873</v>
      </c>
      <c r="B875" s="7" t="str">
        <f>"34542021112111581451521"</f>
        <v>34542021112111581451521</v>
      </c>
      <c r="C875" s="7" t="s">
        <v>17</v>
      </c>
      <c r="D875" s="7" t="str">
        <f>"吴海源"</f>
        <v>吴海源</v>
      </c>
      <c r="E875" s="7" t="str">
        <f t="shared" si="85"/>
        <v>女</v>
      </c>
      <c r="F875" s="7"/>
    </row>
    <row r="876" spans="1:6" ht="30" customHeight="1">
      <c r="A876" s="7">
        <v>874</v>
      </c>
      <c r="B876" s="7" t="str">
        <f>"34542021112112052851524"</f>
        <v>34542021112112052851524</v>
      </c>
      <c r="C876" s="7" t="s">
        <v>17</v>
      </c>
      <c r="D876" s="7" t="str">
        <f>"郑彩娇"</f>
        <v>郑彩娇</v>
      </c>
      <c r="E876" s="7" t="str">
        <f t="shared" si="85"/>
        <v>女</v>
      </c>
      <c r="F876" s="7"/>
    </row>
    <row r="877" spans="1:6" ht="30" customHeight="1">
      <c r="A877" s="7">
        <v>875</v>
      </c>
      <c r="B877" s="7" t="str">
        <f>"34542021112112201451528"</f>
        <v>34542021112112201451528</v>
      </c>
      <c r="C877" s="7" t="s">
        <v>17</v>
      </c>
      <c r="D877" s="7" t="str">
        <f>"吴仙柳"</f>
        <v>吴仙柳</v>
      </c>
      <c r="E877" s="7" t="str">
        <f t="shared" si="85"/>
        <v>女</v>
      </c>
      <c r="F877" s="7"/>
    </row>
    <row r="878" spans="1:6" ht="30" customHeight="1">
      <c r="A878" s="7">
        <v>876</v>
      </c>
      <c r="B878" s="7" t="str">
        <f>"34542021112112221151530"</f>
        <v>34542021112112221151530</v>
      </c>
      <c r="C878" s="7" t="s">
        <v>17</v>
      </c>
      <c r="D878" s="7" t="str">
        <f>"黎悦"</f>
        <v>黎悦</v>
      </c>
      <c r="E878" s="7" t="str">
        <f t="shared" si="85"/>
        <v>女</v>
      </c>
      <c r="F878" s="7"/>
    </row>
    <row r="879" spans="1:6" ht="30" customHeight="1">
      <c r="A879" s="7">
        <v>877</v>
      </c>
      <c r="B879" s="7" t="str">
        <f>"34542021112112325651532"</f>
        <v>34542021112112325651532</v>
      </c>
      <c r="C879" s="7" t="s">
        <v>17</v>
      </c>
      <c r="D879" s="7" t="str">
        <f>"陈菲菲"</f>
        <v>陈菲菲</v>
      </c>
      <c r="E879" s="7" t="str">
        <f t="shared" si="85"/>
        <v>女</v>
      </c>
      <c r="F879" s="7"/>
    </row>
    <row r="880" spans="1:6" ht="30" customHeight="1">
      <c r="A880" s="7">
        <v>878</v>
      </c>
      <c r="B880" s="7" t="str">
        <f>"34542021112112342251533"</f>
        <v>34542021112112342251533</v>
      </c>
      <c r="C880" s="7" t="s">
        <v>17</v>
      </c>
      <c r="D880" s="7" t="str">
        <f>"刘莲凤"</f>
        <v>刘莲凤</v>
      </c>
      <c r="E880" s="7" t="str">
        <f t="shared" si="85"/>
        <v>女</v>
      </c>
      <c r="F880" s="7"/>
    </row>
    <row r="881" spans="1:6" ht="30" customHeight="1">
      <c r="A881" s="7">
        <v>879</v>
      </c>
      <c r="B881" s="7" t="str">
        <f>"34542021112112412651536"</f>
        <v>34542021112112412651536</v>
      </c>
      <c r="C881" s="7" t="s">
        <v>17</v>
      </c>
      <c r="D881" s="7" t="str">
        <f>"何珍"</f>
        <v>何珍</v>
      </c>
      <c r="E881" s="7" t="str">
        <f t="shared" si="85"/>
        <v>女</v>
      </c>
      <c r="F881" s="7"/>
    </row>
    <row r="882" spans="1:6" ht="30" customHeight="1">
      <c r="A882" s="7">
        <v>880</v>
      </c>
      <c r="B882" s="7" t="str">
        <f>"34542021112112463351539"</f>
        <v>34542021112112463351539</v>
      </c>
      <c r="C882" s="7" t="s">
        <v>17</v>
      </c>
      <c r="D882" s="7" t="str">
        <f>"符指娥"</f>
        <v>符指娥</v>
      </c>
      <c r="E882" s="7" t="str">
        <f t="shared" si="85"/>
        <v>女</v>
      </c>
      <c r="F882" s="7"/>
    </row>
    <row r="883" spans="1:6" ht="30" customHeight="1">
      <c r="A883" s="7">
        <v>881</v>
      </c>
      <c r="B883" s="7" t="str">
        <f>"34542021112112543951543"</f>
        <v>34542021112112543951543</v>
      </c>
      <c r="C883" s="7" t="s">
        <v>17</v>
      </c>
      <c r="D883" s="7" t="str">
        <f>"韩博娟"</f>
        <v>韩博娟</v>
      </c>
      <c r="E883" s="7" t="str">
        <f t="shared" si="85"/>
        <v>女</v>
      </c>
      <c r="F883" s="7"/>
    </row>
    <row r="884" spans="1:6" ht="30" customHeight="1">
      <c r="A884" s="7">
        <v>882</v>
      </c>
      <c r="B884" s="7" t="str">
        <f>"34542021112112554551544"</f>
        <v>34542021112112554551544</v>
      </c>
      <c r="C884" s="7" t="s">
        <v>17</v>
      </c>
      <c r="D884" s="7" t="str">
        <f>"徐雅善"</f>
        <v>徐雅善</v>
      </c>
      <c r="E884" s="7" t="str">
        <f t="shared" si="85"/>
        <v>女</v>
      </c>
      <c r="F884" s="7"/>
    </row>
    <row r="885" spans="1:6" ht="30" customHeight="1">
      <c r="A885" s="7">
        <v>883</v>
      </c>
      <c r="B885" s="7" t="str">
        <f>"34542021112112554851545"</f>
        <v>34542021112112554851545</v>
      </c>
      <c r="C885" s="7" t="s">
        <v>17</v>
      </c>
      <c r="D885" s="7" t="str">
        <f>"羊金妍"</f>
        <v>羊金妍</v>
      </c>
      <c r="E885" s="7" t="str">
        <f t="shared" si="85"/>
        <v>女</v>
      </c>
      <c r="F885" s="7"/>
    </row>
    <row r="886" spans="1:6" ht="30" customHeight="1">
      <c r="A886" s="7">
        <v>884</v>
      </c>
      <c r="B886" s="7" t="str">
        <f>"34542021112113021851547"</f>
        <v>34542021112113021851547</v>
      </c>
      <c r="C886" s="7" t="s">
        <v>17</v>
      </c>
      <c r="D886" s="7" t="str">
        <f>"符妹妹"</f>
        <v>符妹妹</v>
      </c>
      <c r="E886" s="7" t="str">
        <f t="shared" si="85"/>
        <v>女</v>
      </c>
      <c r="F886" s="7"/>
    </row>
    <row r="887" spans="1:6" ht="30" customHeight="1">
      <c r="A887" s="7">
        <v>885</v>
      </c>
      <c r="B887" s="7" t="str">
        <f>"34542021112113075151549"</f>
        <v>34542021112113075151549</v>
      </c>
      <c r="C887" s="7" t="s">
        <v>17</v>
      </c>
      <c r="D887" s="7" t="str">
        <f>"谢江妹"</f>
        <v>谢江妹</v>
      </c>
      <c r="E887" s="7" t="str">
        <f t="shared" si="85"/>
        <v>女</v>
      </c>
      <c r="F887" s="7"/>
    </row>
    <row r="888" spans="1:6" ht="30" customHeight="1">
      <c r="A888" s="7">
        <v>886</v>
      </c>
      <c r="B888" s="7" t="str">
        <f>"34542021112113093751551"</f>
        <v>34542021112113093751551</v>
      </c>
      <c r="C888" s="7" t="s">
        <v>17</v>
      </c>
      <c r="D888" s="7" t="str">
        <f>"郑庚彩"</f>
        <v>郑庚彩</v>
      </c>
      <c r="E888" s="7" t="str">
        <f t="shared" si="85"/>
        <v>女</v>
      </c>
      <c r="F888" s="7"/>
    </row>
    <row r="889" spans="1:6" ht="30" customHeight="1">
      <c r="A889" s="7">
        <v>887</v>
      </c>
      <c r="B889" s="7" t="str">
        <f>"34542021112113110751552"</f>
        <v>34542021112113110751552</v>
      </c>
      <c r="C889" s="7" t="s">
        <v>17</v>
      </c>
      <c r="D889" s="7" t="str">
        <f>"叶小娇"</f>
        <v>叶小娇</v>
      </c>
      <c r="E889" s="7" t="str">
        <f t="shared" si="85"/>
        <v>女</v>
      </c>
      <c r="F889" s="7"/>
    </row>
    <row r="890" spans="1:6" ht="30" customHeight="1">
      <c r="A890" s="7">
        <v>888</v>
      </c>
      <c r="B890" s="7" t="str">
        <f>"34542021112113272551556"</f>
        <v>34542021112113272551556</v>
      </c>
      <c r="C890" s="7" t="s">
        <v>17</v>
      </c>
      <c r="D890" s="7" t="str">
        <f>"邱春虹"</f>
        <v>邱春虹</v>
      </c>
      <c r="E890" s="7" t="str">
        <f t="shared" si="85"/>
        <v>女</v>
      </c>
      <c r="F890" s="7"/>
    </row>
    <row r="891" spans="1:6" ht="30" customHeight="1">
      <c r="A891" s="7">
        <v>889</v>
      </c>
      <c r="B891" s="7" t="str">
        <f>"34542021112113314151557"</f>
        <v>34542021112113314151557</v>
      </c>
      <c r="C891" s="7" t="s">
        <v>17</v>
      </c>
      <c r="D891" s="7" t="str">
        <f>"陈婷"</f>
        <v>陈婷</v>
      </c>
      <c r="E891" s="7" t="str">
        <f t="shared" si="85"/>
        <v>女</v>
      </c>
      <c r="F891" s="7"/>
    </row>
    <row r="892" spans="1:6" ht="30" customHeight="1">
      <c r="A892" s="7">
        <v>890</v>
      </c>
      <c r="B892" s="7" t="str">
        <f>"34542021112113332751558"</f>
        <v>34542021112113332751558</v>
      </c>
      <c r="C892" s="7" t="s">
        <v>17</v>
      </c>
      <c r="D892" s="7" t="str">
        <f>"羊金彩"</f>
        <v>羊金彩</v>
      </c>
      <c r="E892" s="7" t="str">
        <f t="shared" si="85"/>
        <v>女</v>
      </c>
      <c r="F892" s="7"/>
    </row>
    <row r="893" spans="1:6" ht="30" customHeight="1">
      <c r="A893" s="7">
        <v>891</v>
      </c>
      <c r="B893" s="7" t="str">
        <f>"34542021112113414051560"</f>
        <v>34542021112113414051560</v>
      </c>
      <c r="C893" s="7" t="s">
        <v>17</v>
      </c>
      <c r="D893" s="7" t="str">
        <f>"梁桂"</f>
        <v>梁桂</v>
      </c>
      <c r="E893" s="7" t="str">
        <f t="shared" si="85"/>
        <v>女</v>
      </c>
      <c r="F893" s="7"/>
    </row>
    <row r="894" spans="1:6" ht="30" customHeight="1">
      <c r="A894" s="7">
        <v>892</v>
      </c>
      <c r="B894" s="7" t="str">
        <f>"34542021112113525451562"</f>
        <v>34542021112113525451562</v>
      </c>
      <c r="C894" s="7" t="s">
        <v>17</v>
      </c>
      <c r="D894" s="7" t="str">
        <f>"邓冬梅"</f>
        <v>邓冬梅</v>
      </c>
      <c r="E894" s="7" t="str">
        <f t="shared" si="85"/>
        <v>女</v>
      </c>
      <c r="F894" s="7"/>
    </row>
    <row r="895" spans="1:6" ht="30" customHeight="1">
      <c r="A895" s="7">
        <v>893</v>
      </c>
      <c r="B895" s="7" t="str">
        <f>"34542021112114040551564"</f>
        <v>34542021112114040551564</v>
      </c>
      <c r="C895" s="7" t="s">
        <v>17</v>
      </c>
      <c r="D895" s="7" t="str">
        <f>"简献兰"</f>
        <v>简献兰</v>
      </c>
      <c r="E895" s="7" t="str">
        <f t="shared" si="85"/>
        <v>女</v>
      </c>
      <c r="F895" s="7"/>
    </row>
    <row r="896" spans="1:6" ht="30" customHeight="1">
      <c r="A896" s="7">
        <v>894</v>
      </c>
      <c r="B896" s="7" t="str">
        <f>"34542021112114093751566"</f>
        <v>34542021112114093751566</v>
      </c>
      <c r="C896" s="7" t="s">
        <v>17</v>
      </c>
      <c r="D896" s="7" t="str">
        <f>"符金花"</f>
        <v>符金花</v>
      </c>
      <c r="E896" s="7" t="str">
        <f t="shared" si="85"/>
        <v>女</v>
      </c>
      <c r="F896" s="7"/>
    </row>
    <row r="897" spans="1:6" ht="30" customHeight="1">
      <c r="A897" s="7">
        <v>895</v>
      </c>
      <c r="B897" s="7" t="str">
        <f>"34542021112114282351567"</f>
        <v>34542021112114282351567</v>
      </c>
      <c r="C897" s="7" t="s">
        <v>17</v>
      </c>
      <c r="D897" s="7" t="str">
        <f>"赵发香"</f>
        <v>赵发香</v>
      </c>
      <c r="E897" s="7" t="str">
        <f t="shared" si="85"/>
        <v>女</v>
      </c>
      <c r="F897" s="7"/>
    </row>
    <row r="898" spans="1:6" ht="30" customHeight="1">
      <c r="A898" s="7">
        <v>896</v>
      </c>
      <c r="B898" s="7" t="str">
        <f>"34542021112114503551571"</f>
        <v>34542021112114503551571</v>
      </c>
      <c r="C898" s="7" t="s">
        <v>17</v>
      </c>
      <c r="D898" s="7" t="str">
        <f>"李淑香"</f>
        <v>李淑香</v>
      </c>
      <c r="E898" s="7" t="str">
        <f t="shared" si="85"/>
        <v>女</v>
      </c>
      <c r="F898" s="7"/>
    </row>
    <row r="899" spans="1:6" ht="30" customHeight="1">
      <c r="A899" s="7">
        <v>897</v>
      </c>
      <c r="B899" s="7" t="str">
        <f>"34542021112114591451573"</f>
        <v>34542021112114591451573</v>
      </c>
      <c r="C899" s="7" t="s">
        <v>17</v>
      </c>
      <c r="D899" s="7" t="str">
        <f>"薛文良"</f>
        <v>薛文良</v>
      </c>
      <c r="E899" s="7" t="str">
        <f>"男"</f>
        <v>男</v>
      </c>
      <c r="F899" s="7"/>
    </row>
    <row r="900" spans="1:6" ht="30" customHeight="1">
      <c r="A900" s="7">
        <v>898</v>
      </c>
      <c r="B900" s="7" t="str">
        <f>"34542021112115075151576"</f>
        <v>34542021112115075151576</v>
      </c>
      <c r="C900" s="7" t="s">
        <v>17</v>
      </c>
      <c r="D900" s="7" t="str">
        <f>"张瑞珍"</f>
        <v>张瑞珍</v>
      </c>
      <c r="E900" s="7" t="str">
        <f aca="true" t="shared" si="86" ref="E900:E906">"女"</f>
        <v>女</v>
      </c>
      <c r="F900" s="7"/>
    </row>
    <row r="901" spans="1:6" ht="30" customHeight="1">
      <c r="A901" s="7">
        <v>899</v>
      </c>
      <c r="B901" s="7" t="str">
        <f>"34542021112115083051577"</f>
        <v>34542021112115083051577</v>
      </c>
      <c r="C901" s="7" t="s">
        <v>17</v>
      </c>
      <c r="D901" s="7" t="str">
        <f>"许会霞"</f>
        <v>许会霞</v>
      </c>
      <c r="E901" s="7" t="str">
        <f t="shared" si="86"/>
        <v>女</v>
      </c>
      <c r="F901" s="7"/>
    </row>
    <row r="902" spans="1:6" ht="30" customHeight="1">
      <c r="A902" s="7">
        <v>900</v>
      </c>
      <c r="B902" s="7" t="str">
        <f>"34542021112115345051583"</f>
        <v>34542021112115345051583</v>
      </c>
      <c r="C902" s="7" t="s">
        <v>17</v>
      </c>
      <c r="D902" s="7" t="str">
        <f>"吴海珍"</f>
        <v>吴海珍</v>
      </c>
      <c r="E902" s="7" t="str">
        <f t="shared" si="86"/>
        <v>女</v>
      </c>
      <c r="F902" s="7"/>
    </row>
    <row r="903" spans="1:6" ht="30" customHeight="1">
      <c r="A903" s="7">
        <v>901</v>
      </c>
      <c r="B903" s="7" t="str">
        <f>"34542021112116005451590"</f>
        <v>34542021112116005451590</v>
      </c>
      <c r="C903" s="7" t="s">
        <v>17</v>
      </c>
      <c r="D903" s="7" t="str">
        <f>"钟会英"</f>
        <v>钟会英</v>
      </c>
      <c r="E903" s="7" t="str">
        <f t="shared" si="86"/>
        <v>女</v>
      </c>
      <c r="F903" s="7"/>
    </row>
    <row r="904" spans="1:6" ht="30" customHeight="1">
      <c r="A904" s="7">
        <v>902</v>
      </c>
      <c r="B904" s="7" t="str">
        <f>"34542021112116125051594"</f>
        <v>34542021112116125051594</v>
      </c>
      <c r="C904" s="7" t="s">
        <v>17</v>
      </c>
      <c r="D904" s="7" t="str">
        <f>"羊翠楼"</f>
        <v>羊翠楼</v>
      </c>
      <c r="E904" s="7" t="str">
        <f t="shared" si="86"/>
        <v>女</v>
      </c>
      <c r="F904" s="7"/>
    </row>
    <row r="905" spans="1:6" ht="30" customHeight="1">
      <c r="A905" s="7">
        <v>903</v>
      </c>
      <c r="B905" s="7" t="str">
        <f>"34542021112116131351595"</f>
        <v>34542021112116131351595</v>
      </c>
      <c r="C905" s="7" t="s">
        <v>17</v>
      </c>
      <c r="D905" s="7" t="str">
        <f>"朱发鸾"</f>
        <v>朱发鸾</v>
      </c>
      <c r="E905" s="7" t="str">
        <f t="shared" si="86"/>
        <v>女</v>
      </c>
      <c r="F905" s="7"/>
    </row>
    <row r="906" spans="1:6" ht="30" customHeight="1">
      <c r="A906" s="7">
        <v>904</v>
      </c>
      <c r="B906" s="7" t="str">
        <f>"34542021112116275751599"</f>
        <v>34542021112116275751599</v>
      </c>
      <c r="C906" s="7" t="s">
        <v>17</v>
      </c>
      <c r="D906" s="7" t="str">
        <f>"周水花"</f>
        <v>周水花</v>
      </c>
      <c r="E906" s="7" t="str">
        <f t="shared" si="86"/>
        <v>女</v>
      </c>
      <c r="F906" s="7"/>
    </row>
    <row r="907" spans="1:6" ht="30" customHeight="1">
      <c r="A907" s="7">
        <v>905</v>
      </c>
      <c r="B907" s="7" t="str">
        <f>"34542021112116364451601"</f>
        <v>34542021112116364451601</v>
      </c>
      <c r="C907" s="7" t="s">
        <v>17</v>
      </c>
      <c r="D907" s="7" t="str">
        <f>"钟明雄"</f>
        <v>钟明雄</v>
      </c>
      <c r="E907" s="7" t="str">
        <f>"男"</f>
        <v>男</v>
      </c>
      <c r="F907" s="7"/>
    </row>
    <row r="908" spans="1:6" ht="30" customHeight="1">
      <c r="A908" s="7">
        <v>906</v>
      </c>
      <c r="B908" s="7" t="str">
        <f>"34542021112116391251603"</f>
        <v>34542021112116391251603</v>
      </c>
      <c r="C908" s="7" t="s">
        <v>17</v>
      </c>
      <c r="D908" s="7" t="str">
        <f>"邓秀梅"</f>
        <v>邓秀梅</v>
      </c>
      <c r="E908" s="7" t="str">
        <f aca="true" t="shared" si="87" ref="E908:E961">"女"</f>
        <v>女</v>
      </c>
      <c r="F908" s="7"/>
    </row>
    <row r="909" spans="1:6" ht="30" customHeight="1">
      <c r="A909" s="7">
        <v>907</v>
      </c>
      <c r="B909" s="7" t="str">
        <f>"34542021112116500551609"</f>
        <v>34542021112116500551609</v>
      </c>
      <c r="C909" s="7" t="s">
        <v>17</v>
      </c>
      <c r="D909" s="7" t="str">
        <f>"戴石环"</f>
        <v>戴石环</v>
      </c>
      <c r="E909" s="7" t="str">
        <f t="shared" si="87"/>
        <v>女</v>
      </c>
      <c r="F909" s="7"/>
    </row>
    <row r="910" spans="1:6" ht="30" customHeight="1">
      <c r="A910" s="7">
        <v>908</v>
      </c>
      <c r="B910" s="7" t="str">
        <f>"34542021112116513151610"</f>
        <v>34542021112116513151610</v>
      </c>
      <c r="C910" s="7" t="s">
        <v>17</v>
      </c>
      <c r="D910" s="7" t="str">
        <f>"羊风女"</f>
        <v>羊风女</v>
      </c>
      <c r="E910" s="7" t="str">
        <f t="shared" si="87"/>
        <v>女</v>
      </c>
      <c r="F910" s="7"/>
    </row>
    <row r="911" spans="1:6" ht="30" customHeight="1">
      <c r="A911" s="7">
        <v>909</v>
      </c>
      <c r="B911" s="7" t="str">
        <f>"34542021112116584051613"</f>
        <v>34542021112116584051613</v>
      </c>
      <c r="C911" s="7" t="s">
        <v>17</v>
      </c>
      <c r="D911" s="7" t="str">
        <f>"胡庆杏"</f>
        <v>胡庆杏</v>
      </c>
      <c r="E911" s="7" t="str">
        <f t="shared" si="87"/>
        <v>女</v>
      </c>
      <c r="F911" s="7"/>
    </row>
    <row r="912" spans="1:6" ht="30" customHeight="1">
      <c r="A912" s="7">
        <v>910</v>
      </c>
      <c r="B912" s="7" t="str">
        <f>"34542021112117025851615"</f>
        <v>34542021112117025851615</v>
      </c>
      <c r="C912" s="7" t="s">
        <v>17</v>
      </c>
      <c r="D912" s="7" t="str">
        <f>"吴源英"</f>
        <v>吴源英</v>
      </c>
      <c r="E912" s="7" t="str">
        <f t="shared" si="87"/>
        <v>女</v>
      </c>
      <c r="F912" s="7"/>
    </row>
    <row r="913" spans="1:6" ht="30" customHeight="1">
      <c r="A913" s="7">
        <v>911</v>
      </c>
      <c r="B913" s="7" t="str">
        <f>"34542021112117103751616"</f>
        <v>34542021112117103751616</v>
      </c>
      <c r="C913" s="7" t="s">
        <v>17</v>
      </c>
      <c r="D913" s="7" t="str">
        <f>"李桃香"</f>
        <v>李桃香</v>
      </c>
      <c r="E913" s="7" t="str">
        <f t="shared" si="87"/>
        <v>女</v>
      </c>
      <c r="F913" s="7"/>
    </row>
    <row r="914" spans="1:6" ht="30" customHeight="1">
      <c r="A914" s="7">
        <v>912</v>
      </c>
      <c r="B914" s="7" t="str">
        <f>"34542021112117172051619"</f>
        <v>34542021112117172051619</v>
      </c>
      <c r="C914" s="7" t="s">
        <v>17</v>
      </c>
      <c r="D914" s="7" t="str">
        <f>"许小燕"</f>
        <v>许小燕</v>
      </c>
      <c r="E914" s="7" t="str">
        <f t="shared" si="87"/>
        <v>女</v>
      </c>
      <c r="F914" s="7"/>
    </row>
    <row r="915" spans="1:6" ht="30" customHeight="1">
      <c r="A915" s="7">
        <v>913</v>
      </c>
      <c r="B915" s="7" t="str">
        <f>"34542021112117331651621"</f>
        <v>34542021112117331651621</v>
      </c>
      <c r="C915" s="7" t="s">
        <v>17</v>
      </c>
      <c r="D915" s="7" t="str">
        <f>"吴小怡"</f>
        <v>吴小怡</v>
      </c>
      <c r="E915" s="7" t="str">
        <f t="shared" si="87"/>
        <v>女</v>
      </c>
      <c r="F915" s="7"/>
    </row>
    <row r="916" spans="1:6" ht="30" customHeight="1">
      <c r="A916" s="7">
        <v>914</v>
      </c>
      <c r="B916" s="7" t="str">
        <f>"34542021112117413751623"</f>
        <v>34542021112117413751623</v>
      </c>
      <c r="C916" s="7" t="s">
        <v>17</v>
      </c>
      <c r="D916" s="7" t="str">
        <f>"王孔翠"</f>
        <v>王孔翠</v>
      </c>
      <c r="E916" s="7" t="str">
        <f t="shared" si="87"/>
        <v>女</v>
      </c>
      <c r="F916" s="7"/>
    </row>
    <row r="917" spans="1:6" ht="30" customHeight="1">
      <c r="A917" s="7">
        <v>915</v>
      </c>
      <c r="B917" s="7" t="str">
        <f>"34542021112117422651625"</f>
        <v>34542021112117422651625</v>
      </c>
      <c r="C917" s="7" t="s">
        <v>17</v>
      </c>
      <c r="D917" s="7" t="str">
        <f>"林晶"</f>
        <v>林晶</v>
      </c>
      <c r="E917" s="7" t="str">
        <f t="shared" si="87"/>
        <v>女</v>
      </c>
      <c r="F917" s="7"/>
    </row>
    <row r="918" spans="1:6" ht="30" customHeight="1">
      <c r="A918" s="7">
        <v>916</v>
      </c>
      <c r="B918" s="7" t="str">
        <f>"34542021112117565551631"</f>
        <v>34542021112117565551631</v>
      </c>
      <c r="C918" s="7" t="s">
        <v>17</v>
      </c>
      <c r="D918" s="7" t="str">
        <f>"何凤仪"</f>
        <v>何凤仪</v>
      </c>
      <c r="E918" s="7" t="str">
        <f t="shared" si="87"/>
        <v>女</v>
      </c>
      <c r="F918" s="7"/>
    </row>
    <row r="919" spans="1:6" ht="30" customHeight="1">
      <c r="A919" s="7">
        <v>917</v>
      </c>
      <c r="B919" s="7" t="str">
        <f>"34542021112118003051634"</f>
        <v>34542021112118003051634</v>
      </c>
      <c r="C919" s="7" t="s">
        <v>17</v>
      </c>
      <c r="D919" s="7" t="str">
        <f>"唐艳花"</f>
        <v>唐艳花</v>
      </c>
      <c r="E919" s="7" t="str">
        <f t="shared" si="87"/>
        <v>女</v>
      </c>
      <c r="F919" s="7"/>
    </row>
    <row r="920" spans="1:6" ht="30" customHeight="1">
      <c r="A920" s="7">
        <v>918</v>
      </c>
      <c r="B920" s="7" t="str">
        <f>"34542021112118063851636"</f>
        <v>34542021112118063851636</v>
      </c>
      <c r="C920" s="7" t="s">
        <v>17</v>
      </c>
      <c r="D920" s="7" t="str">
        <f>"李丽玲"</f>
        <v>李丽玲</v>
      </c>
      <c r="E920" s="7" t="str">
        <f t="shared" si="87"/>
        <v>女</v>
      </c>
      <c r="F920" s="7"/>
    </row>
    <row r="921" spans="1:6" ht="30" customHeight="1">
      <c r="A921" s="7">
        <v>919</v>
      </c>
      <c r="B921" s="7" t="str">
        <f>"34542021112118113551637"</f>
        <v>34542021112118113551637</v>
      </c>
      <c r="C921" s="7" t="s">
        <v>17</v>
      </c>
      <c r="D921" s="7" t="str">
        <f>"林海霞"</f>
        <v>林海霞</v>
      </c>
      <c r="E921" s="7" t="str">
        <f t="shared" si="87"/>
        <v>女</v>
      </c>
      <c r="F921" s="7"/>
    </row>
    <row r="922" spans="1:6" ht="30" customHeight="1">
      <c r="A922" s="7">
        <v>920</v>
      </c>
      <c r="B922" s="7" t="str">
        <f>"34542021112118121751638"</f>
        <v>34542021112118121751638</v>
      </c>
      <c r="C922" s="7" t="s">
        <v>17</v>
      </c>
      <c r="D922" s="7" t="str">
        <f>"吴桂青"</f>
        <v>吴桂青</v>
      </c>
      <c r="E922" s="7" t="str">
        <f t="shared" si="87"/>
        <v>女</v>
      </c>
      <c r="F922" s="7"/>
    </row>
    <row r="923" spans="1:6" ht="30" customHeight="1">
      <c r="A923" s="7">
        <v>921</v>
      </c>
      <c r="B923" s="7" t="str">
        <f>"34542021112118284451641"</f>
        <v>34542021112118284451641</v>
      </c>
      <c r="C923" s="7" t="s">
        <v>17</v>
      </c>
      <c r="D923" s="7" t="str">
        <f>"王侯丹"</f>
        <v>王侯丹</v>
      </c>
      <c r="E923" s="7" t="str">
        <f t="shared" si="87"/>
        <v>女</v>
      </c>
      <c r="F923" s="7"/>
    </row>
    <row r="924" spans="1:6" ht="30" customHeight="1">
      <c r="A924" s="7">
        <v>922</v>
      </c>
      <c r="B924" s="7" t="str">
        <f>"34542021112118441551644"</f>
        <v>34542021112118441551644</v>
      </c>
      <c r="C924" s="7" t="s">
        <v>17</v>
      </c>
      <c r="D924" s="7" t="str">
        <f>"钟子菲"</f>
        <v>钟子菲</v>
      </c>
      <c r="E924" s="7" t="str">
        <f t="shared" si="87"/>
        <v>女</v>
      </c>
      <c r="F924" s="7"/>
    </row>
    <row r="925" spans="1:6" ht="30" customHeight="1">
      <c r="A925" s="7">
        <v>923</v>
      </c>
      <c r="B925" s="7" t="str">
        <f>"34542021112118492051646"</f>
        <v>34542021112118492051646</v>
      </c>
      <c r="C925" s="7" t="s">
        <v>17</v>
      </c>
      <c r="D925" s="7" t="str">
        <f>"冯梅妍"</f>
        <v>冯梅妍</v>
      </c>
      <c r="E925" s="7" t="str">
        <f t="shared" si="87"/>
        <v>女</v>
      </c>
      <c r="F925" s="7"/>
    </row>
    <row r="926" spans="1:6" ht="30" customHeight="1">
      <c r="A926" s="7">
        <v>924</v>
      </c>
      <c r="B926" s="7" t="str">
        <f>"34542021112118541951647"</f>
        <v>34542021112118541951647</v>
      </c>
      <c r="C926" s="7" t="s">
        <v>17</v>
      </c>
      <c r="D926" s="7" t="str">
        <f>"符启研"</f>
        <v>符启研</v>
      </c>
      <c r="E926" s="7" t="str">
        <f t="shared" si="87"/>
        <v>女</v>
      </c>
      <c r="F926" s="7"/>
    </row>
    <row r="927" spans="1:6" ht="30" customHeight="1">
      <c r="A927" s="7">
        <v>925</v>
      </c>
      <c r="B927" s="7" t="str">
        <f>"34542021112119004551649"</f>
        <v>34542021112119004551649</v>
      </c>
      <c r="C927" s="7" t="s">
        <v>17</v>
      </c>
      <c r="D927" s="7" t="str">
        <f>"王雅春"</f>
        <v>王雅春</v>
      </c>
      <c r="E927" s="7" t="str">
        <f t="shared" si="87"/>
        <v>女</v>
      </c>
      <c r="F927" s="7"/>
    </row>
    <row r="928" spans="1:6" ht="30" customHeight="1">
      <c r="A928" s="7">
        <v>926</v>
      </c>
      <c r="B928" s="7" t="str">
        <f>"34542021112119022951650"</f>
        <v>34542021112119022951650</v>
      </c>
      <c r="C928" s="7" t="s">
        <v>17</v>
      </c>
      <c r="D928" s="7" t="str">
        <f>"李耀丹"</f>
        <v>李耀丹</v>
      </c>
      <c r="E928" s="7" t="str">
        <f t="shared" si="87"/>
        <v>女</v>
      </c>
      <c r="F928" s="7"/>
    </row>
    <row r="929" spans="1:6" ht="30" customHeight="1">
      <c r="A929" s="7">
        <v>927</v>
      </c>
      <c r="B929" s="7" t="str">
        <f>"34542021112119222951655"</f>
        <v>34542021112119222951655</v>
      </c>
      <c r="C929" s="7" t="s">
        <v>17</v>
      </c>
      <c r="D929" s="7" t="str">
        <f>"唐小提"</f>
        <v>唐小提</v>
      </c>
      <c r="E929" s="7" t="str">
        <f t="shared" si="87"/>
        <v>女</v>
      </c>
      <c r="F929" s="7"/>
    </row>
    <row r="930" spans="1:6" ht="30" customHeight="1">
      <c r="A930" s="7">
        <v>928</v>
      </c>
      <c r="B930" s="7" t="str">
        <f>"34542021112119322951658"</f>
        <v>34542021112119322951658</v>
      </c>
      <c r="C930" s="7" t="s">
        <v>17</v>
      </c>
      <c r="D930" s="7" t="str">
        <f>"谢现霞"</f>
        <v>谢现霞</v>
      </c>
      <c r="E930" s="7" t="str">
        <f t="shared" si="87"/>
        <v>女</v>
      </c>
      <c r="F930" s="7"/>
    </row>
    <row r="931" spans="1:6" ht="30" customHeight="1">
      <c r="A931" s="7">
        <v>929</v>
      </c>
      <c r="B931" s="7" t="str">
        <f>"34542021112119490451663"</f>
        <v>34542021112119490451663</v>
      </c>
      <c r="C931" s="7" t="s">
        <v>17</v>
      </c>
      <c r="D931" s="7" t="str">
        <f>"严妍"</f>
        <v>严妍</v>
      </c>
      <c r="E931" s="7" t="str">
        <f t="shared" si="87"/>
        <v>女</v>
      </c>
      <c r="F931" s="7"/>
    </row>
    <row r="932" spans="1:6" ht="30" customHeight="1">
      <c r="A932" s="7">
        <v>930</v>
      </c>
      <c r="B932" s="7" t="str">
        <f>"34542021112119563051665"</f>
        <v>34542021112119563051665</v>
      </c>
      <c r="C932" s="7" t="s">
        <v>17</v>
      </c>
      <c r="D932" s="7" t="str">
        <f>"王美群"</f>
        <v>王美群</v>
      </c>
      <c r="E932" s="7" t="str">
        <f t="shared" si="87"/>
        <v>女</v>
      </c>
      <c r="F932" s="7"/>
    </row>
    <row r="933" spans="1:6" ht="30" customHeight="1">
      <c r="A933" s="7">
        <v>931</v>
      </c>
      <c r="B933" s="7" t="str">
        <f>"34542021112119585951666"</f>
        <v>34542021112119585951666</v>
      </c>
      <c r="C933" s="7" t="s">
        <v>17</v>
      </c>
      <c r="D933" s="7" t="str">
        <f>"黄继茵"</f>
        <v>黄继茵</v>
      </c>
      <c r="E933" s="7" t="str">
        <f t="shared" si="87"/>
        <v>女</v>
      </c>
      <c r="F933" s="7"/>
    </row>
    <row r="934" spans="1:6" ht="30" customHeight="1">
      <c r="A934" s="7">
        <v>932</v>
      </c>
      <c r="B934" s="7" t="str">
        <f>"34542021112120074751668"</f>
        <v>34542021112120074751668</v>
      </c>
      <c r="C934" s="7" t="s">
        <v>17</v>
      </c>
      <c r="D934" s="7" t="str">
        <f>"李小妹"</f>
        <v>李小妹</v>
      </c>
      <c r="E934" s="7" t="str">
        <f t="shared" si="87"/>
        <v>女</v>
      </c>
      <c r="F934" s="7"/>
    </row>
    <row r="935" spans="1:6" ht="30" customHeight="1">
      <c r="A935" s="7">
        <v>933</v>
      </c>
      <c r="B935" s="7" t="str">
        <f>"34542021112120214651670"</f>
        <v>34542021112120214651670</v>
      </c>
      <c r="C935" s="7" t="s">
        <v>17</v>
      </c>
      <c r="D935" s="7" t="str">
        <f>"罗盛花"</f>
        <v>罗盛花</v>
      </c>
      <c r="E935" s="7" t="str">
        <f t="shared" si="87"/>
        <v>女</v>
      </c>
      <c r="F935" s="7"/>
    </row>
    <row r="936" spans="1:6" ht="30" customHeight="1">
      <c r="A936" s="7">
        <v>934</v>
      </c>
      <c r="B936" s="7" t="str">
        <f>"34542021112120222151671"</f>
        <v>34542021112120222151671</v>
      </c>
      <c r="C936" s="7" t="s">
        <v>17</v>
      </c>
      <c r="D936" s="7" t="str">
        <f>"符奕女"</f>
        <v>符奕女</v>
      </c>
      <c r="E936" s="7" t="str">
        <f t="shared" si="87"/>
        <v>女</v>
      </c>
      <c r="F936" s="7"/>
    </row>
    <row r="937" spans="1:6" ht="30" customHeight="1">
      <c r="A937" s="7">
        <v>935</v>
      </c>
      <c r="B937" s="7" t="str">
        <f>"34542021112120402251673"</f>
        <v>34542021112120402251673</v>
      </c>
      <c r="C937" s="7" t="s">
        <v>17</v>
      </c>
      <c r="D937" s="7" t="str">
        <f>"郑卿卿"</f>
        <v>郑卿卿</v>
      </c>
      <c r="E937" s="7" t="str">
        <f t="shared" si="87"/>
        <v>女</v>
      </c>
      <c r="F937" s="7"/>
    </row>
    <row r="938" spans="1:6" ht="30" customHeight="1">
      <c r="A938" s="7">
        <v>936</v>
      </c>
      <c r="B938" s="7" t="str">
        <f>"34542021112120431051675"</f>
        <v>34542021112120431051675</v>
      </c>
      <c r="C938" s="7" t="s">
        <v>17</v>
      </c>
      <c r="D938" s="7" t="str">
        <f>"李道妹"</f>
        <v>李道妹</v>
      </c>
      <c r="E938" s="7" t="str">
        <f t="shared" si="87"/>
        <v>女</v>
      </c>
      <c r="F938" s="7"/>
    </row>
    <row r="939" spans="1:6" ht="30" customHeight="1">
      <c r="A939" s="7">
        <v>937</v>
      </c>
      <c r="B939" s="7" t="str">
        <f>"34542021112120442051676"</f>
        <v>34542021112120442051676</v>
      </c>
      <c r="C939" s="7" t="s">
        <v>17</v>
      </c>
      <c r="D939" s="7" t="str">
        <f>"刘教桃"</f>
        <v>刘教桃</v>
      </c>
      <c r="E939" s="7" t="str">
        <f t="shared" si="87"/>
        <v>女</v>
      </c>
      <c r="F939" s="7"/>
    </row>
    <row r="940" spans="1:6" ht="30" customHeight="1">
      <c r="A940" s="7">
        <v>938</v>
      </c>
      <c r="B940" s="7" t="str">
        <f>"34542021112120462251677"</f>
        <v>34542021112120462251677</v>
      </c>
      <c r="C940" s="7" t="s">
        <v>17</v>
      </c>
      <c r="D940" s="7" t="str">
        <f>"符日姣"</f>
        <v>符日姣</v>
      </c>
      <c r="E940" s="7" t="str">
        <f t="shared" si="87"/>
        <v>女</v>
      </c>
      <c r="F940" s="7"/>
    </row>
    <row r="941" spans="1:6" ht="30" customHeight="1">
      <c r="A941" s="7">
        <v>939</v>
      </c>
      <c r="B941" s="7" t="str">
        <f>"34542021112120485751679"</f>
        <v>34542021112120485751679</v>
      </c>
      <c r="C941" s="7" t="s">
        <v>17</v>
      </c>
      <c r="D941" s="7" t="str">
        <f>"周艳香"</f>
        <v>周艳香</v>
      </c>
      <c r="E941" s="7" t="str">
        <f t="shared" si="87"/>
        <v>女</v>
      </c>
      <c r="F941" s="7"/>
    </row>
    <row r="942" spans="1:6" ht="30" customHeight="1">
      <c r="A942" s="7">
        <v>940</v>
      </c>
      <c r="B942" s="7" t="str">
        <f>"34542021112120561851681"</f>
        <v>34542021112120561851681</v>
      </c>
      <c r="C942" s="7" t="s">
        <v>17</v>
      </c>
      <c r="D942" s="7" t="str">
        <f>"钟进霞"</f>
        <v>钟进霞</v>
      </c>
      <c r="E942" s="7" t="str">
        <f t="shared" si="87"/>
        <v>女</v>
      </c>
      <c r="F942" s="7"/>
    </row>
    <row r="943" spans="1:6" ht="30" customHeight="1">
      <c r="A943" s="7">
        <v>941</v>
      </c>
      <c r="B943" s="7" t="str">
        <f>"34542021112121005951684"</f>
        <v>34542021112121005951684</v>
      </c>
      <c r="C943" s="7" t="s">
        <v>17</v>
      </c>
      <c r="D943" s="7" t="str">
        <f>"吴联嫔"</f>
        <v>吴联嫔</v>
      </c>
      <c r="E943" s="7" t="str">
        <f t="shared" si="87"/>
        <v>女</v>
      </c>
      <c r="F943" s="7"/>
    </row>
    <row r="944" spans="1:6" ht="30" customHeight="1">
      <c r="A944" s="7">
        <v>942</v>
      </c>
      <c r="B944" s="7" t="str">
        <f>"34542021112121021651685"</f>
        <v>34542021112121021651685</v>
      </c>
      <c r="C944" s="7" t="s">
        <v>17</v>
      </c>
      <c r="D944" s="7" t="str">
        <f>"陈卓丽"</f>
        <v>陈卓丽</v>
      </c>
      <c r="E944" s="7" t="str">
        <f t="shared" si="87"/>
        <v>女</v>
      </c>
      <c r="F944" s="7"/>
    </row>
    <row r="945" spans="1:6" ht="30" customHeight="1">
      <c r="A945" s="7">
        <v>943</v>
      </c>
      <c r="B945" s="7" t="str">
        <f>"34542021112121120151686"</f>
        <v>34542021112121120151686</v>
      </c>
      <c r="C945" s="7" t="s">
        <v>17</v>
      </c>
      <c r="D945" s="7" t="str">
        <f>"唐茂彩"</f>
        <v>唐茂彩</v>
      </c>
      <c r="E945" s="7" t="str">
        <f t="shared" si="87"/>
        <v>女</v>
      </c>
      <c r="F945" s="7"/>
    </row>
    <row r="946" spans="1:6" ht="30" customHeight="1">
      <c r="A946" s="7">
        <v>944</v>
      </c>
      <c r="B946" s="7" t="str">
        <f>"34542021112121160551688"</f>
        <v>34542021112121160551688</v>
      </c>
      <c r="C946" s="7" t="s">
        <v>17</v>
      </c>
      <c r="D946" s="7" t="str">
        <f>"张欢欢"</f>
        <v>张欢欢</v>
      </c>
      <c r="E946" s="7" t="str">
        <f t="shared" si="87"/>
        <v>女</v>
      </c>
      <c r="F946" s="7"/>
    </row>
    <row r="947" spans="1:6" ht="30" customHeight="1">
      <c r="A947" s="7">
        <v>945</v>
      </c>
      <c r="B947" s="7" t="str">
        <f>"34542021112121292851694"</f>
        <v>34542021112121292851694</v>
      </c>
      <c r="C947" s="7" t="s">
        <v>17</v>
      </c>
      <c r="D947" s="7" t="str">
        <f>"陈婷"</f>
        <v>陈婷</v>
      </c>
      <c r="E947" s="7" t="str">
        <f t="shared" si="87"/>
        <v>女</v>
      </c>
      <c r="F947" s="7"/>
    </row>
    <row r="948" spans="1:6" ht="30" customHeight="1">
      <c r="A948" s="7">
        <v>946</v>
      </c>
      <c r="B948" s="7" t="str">
        <f>"34542021112121384751699"</f>
        <v>34542021112121384751699</v>
      </c>
      <c r="C948" s="7" t="s">
        <v>17</v>
      </c>
      <c r="D948" s="7" t="str">
        <f>"唐应秋"</f>
        <v>唐应秋</v>
      </c>
      <c r="E948" s="7" t="str">
        <f t="shared" si="87"/>
        <v>女</v>
      </c>
      <c r="F948" s="7"/>
    </row>
    <row r="949" spans="1:6" ht="30" customHeight="1">
      <c r="A949" s="7">
        <v>947</v>
      </c>
      <c r="B949" s="7" t="str">
        <f>"34542021112121402751700"</f>
        <v>34542021112121402751700</v>
      </c>
      <c r="C949" s="7" t="s">
        <v>17</v>
      </c>
      <c r="D949" s="7" t="str">
        <f>"陈三妹"</f>
        <v>陈三妹</v>
      </c>
      <c r="E949" s="7" t="str">
        <f t="shared" si="87"/>
        <v>女</v>
      </c>
      <c r="F949" s="7"/>
    </row>
    <row r="950" spans="1:6" ht="30" customHeight="1">
      <c r="A950" s="7">
        <v>948</v>
      </c>
      <c r="B950" s="7" t="str">
        <f>"34542021112121445051702"</f>
        <v>34542021112121445051702</v>
      </c>
      <c r="C950" s="7" t="s">
        <v>17</v>
      </c>
      <c r="D950" s="7" t="str">
        <f>"吴德丽"</f>
        <v>吴德丽</v>
      </c>
      <c r="E950" s="7" t="str">
        <f t="shared" si="87"/>
        <v>女</v>
      </c>
      <c r="F950" s="7"/>
    </row>
    <row r="951" spans="1:6" ht="30" customHeight="1">
      <c r="A951" s="7">
        <v>949</v>
      </c>
      <c r="B951" s="7" t="str">
        <f>"34542021112122000651707"</f>
        <v>34542021112122000651707</v>
      </c>
      <c r="C951" s="7" t="s">
        <v>17</v>
      </c>
      <c r="D951" s="7" t="str">
        <f>"符美柳"</f>
        <v>符美柳</v>
      </c>
      <c r="E951" s="7" t="str">
        <f t="shared" si="87"/>
        <v>女</v>
      </c>
      <c r="F951" s="7"/>
    </row>
    <row r="952" spans="1:6" ht="30" customHeight="1">
      <c r="A952" s="7">
        <v>950</v>
      </c>
      <c r="B952" s="7" t="str">
        <f>"34542021112122104251710"</f>
        <v>34542021112122104251710</v>
      </c>
      <c r="C952" s="7" t="s">
        <v>17</v>
      </c>
      <c r="D952" s="7" t="str">
        <f>"李秋枝"</f>
        <v>李秋枝</v>
      </c>
      <c r="E952" s="7" t="str">
        <f t="shared" si="87"/>
        <v>女</v>
      </c>
      <c r="F952" s="7"/>
    </row>
    <row r="953" spans="1:6" ht="30" customHeight="1">
      <c r="A953" s="7">
        <v>951</v>
      </c>
      <c r="B953" s="7" t="str">
        <f>"34542021112122140551712"</f>
        <v>34542021112122140551712</v>
      </c>
      <c r="C953" s="7" t="s">
        <v>17</v>
      </c>
      <c r="D953" s="7" t="str">
        <f>"羊焕彩"</f>
        <v>羊焕彩</v>
      </c>
      <c r="E953" s="7" t="str">
        <f t="shared" si="87"/>
        <v>女</v>
      </c>
      <c r="F953" s="7"/>
    </row>
    <row r="954" spans="1:6" ht="30" customHeight="1">
      <c r="A954" s="7">
        <v>952</v>
      </c>
      <c r="B954" s="7" t="str">
        <f>"34542021112122184451713"</f>
        <v>34542021112122184451713</v>
      </c>
      <c r="C954" s="7" t="s">
        <v>17</v>
      </c>
      <c r="D954" s="7" t="str">
        <f>"郑冬萍"</f>
        <v>郑冬萍</v>
      </c>
      <c r="E954" s="7" t="str">
        <f t="shared" si="87"/>
        <v>女</v>
      </c>
      <c r="F954" s="7"/>
    </row>
    <row r="955" spans="1:6" ht="30" customHeight="1">
      <c r="A955" s="7">
        <v>953</v>
      </c>
      <c r="B955" s="7" t="str">
        <f>"34542021112122360351716"</f>
        <v>34542021112122360351716</v>
      </c>
      <c r="C955" s="7" t="s">
        <v>17</v>
      </c>
      <c r="D955" s="7" t="str">
        <f>"黎月香"</f>
        <v>黎月香</v>
      </c>
      <c r="E955" s="7" t="str">
        <f t="shared" si="87"/>
        <v>女</v>
      </c>
      <c r="F955" s="7"/>
    </row>
    <row r="956" spans="1:6" ht="30" customHeight="1">
      <c r="A956" s="7">
        <v>954</v>
      </c>
      <c r="B956" s="7" t="str">
        <f>"34542021112122573651718"</f>
        <v>34542021112122573651718</v>
      </c>
      <c r="C956" s="7" t="s">
        <v>17</v>
      </c>
      <c r="D956" s="7" t="str">
        <f>"吴丽曼"</f>
        <v>吴丽曼</v>
      </c>
      <c r="E956" s="7" t="str">
        <f t="shared" si="87"/>
        <v>女</v>
      </c>
      <c r="F956" s="7"/>
    </row>
    <row r="957" spans="1:6" ht="30" customHeight="1">
      <c r="A957" s="7">
        <v>955</v>
      </c>
      <c r="B957" s="7" t="str">
        <f>"34542021112123082751722"</f>
        <v>34542021112123082751722</v>
      </c>
      <c r="C957" s="7" t="s">
        <v>17</v>
      </c>
      <c r="D957" s="7" t="str">
        <f>"黄凤琴"</f>
        <v>黄凤琴</v>
      </c>
      <c r="E957" s="7" t="str">
        <f t="shared" si="87"/>
        <v>女</v>
      </c>
      <c r="F957" s="7"/>
    </row>
    <row r="958" spans="1:6" ht="30" customHeight="1">
      <c r="A958" s="7">
        <v>956</v>
      </c>
      <c r="B958" s="7" t="str">
        <f>"34542021112123161851724"</f>
        <v>34542021112123161851724</v>
      </c>
      <c r="C958" s="7" t="s">
        <v>17</v>
      </c>
      <c r="D958" s="7" t="str">
        <f>"麦翰玲"</f>
        <v>麦翰玲</v>
      </c>
      <c r="E958" s="7" t="str">
        <f t="shared" si="87"/>
        <v>女</v>
      </c>
      <c r="F958" s="7"/>
    </row>
    <row r="959" spans="1:6" ht="30" customHeight="1">
      <c r="A959" s="7">
        <v>957</v>
      </c>
      <c r="B959" s="7" t="str">
        <f>"34542021112123411351726"</f>
        <v>34542021112123411351726</v>
      </c>
      <c r="C959" s="7" t="s">
        <v>17</v>
      </c>
      <c r="D959" s="7" t="str">
        <f>"黎秀娟"</f>
        <v>黎秀娟</v>
      </c>
      <c r="E959" s="7" t="str">
        <f t="shared" si="87"/>
        <v>女</v>
      </c>
      <c r="F959" s="7"/>
    </row>
    <row r="960" spans="1:6" ht="30" customHeight="1">
      <c r="A960" s="7">
        <v>958</v>
      </c>
      <c r="B960" s="7" t="str">
        <f>"34542021112200030951729"</f>
        <v>34542021112200030951729</v>
      </c>
      <c r="C960" s="7" t="s">
        <v>17</v>
      </c>
      <c r="D960" s="7" t="str">
        <f>"林卓雅"</f>
        <v>林卓雅</v>
      </c>
      <c r="E960" s="7" t="str">
        <f t="shared" si="87"/>
        <v>女</v>
      </c>
      <c r="F960" s="7"/>
    </row>
    <row r="961" spans="1:6" ht="30" customHeight="1">
      <c r="A961" s="7">
        <v>959</v>
      </c>
      <c r="B961" s="7" t="str">
        <f>"34542021112201295951733"</f>
        <v>34542021112201295951733</v>
      </c>
      <c r="C961" s="7" t="s">
        <v>17</v>
      </c>
      <c r="D961" s="7" t="str">
        <f>"李周宾"</f>
        <v>李周宾</v>
      </c>
      <c r="E961" s="7" t="str">
        <f t="shared" si="87"/>
        <v>女</v>
      </c>
      <c r="F961" s="7"/>
    </row>
    <row r="962" spans="1:6" ht="30" customHeight="1">
      <c r="A962" s="7">
        <v>960</v>
      </c>
      <c r="B962" s="7" t="str">
        <f>"34542021112203205551734"</f>
        <v>34542021112203205551734</v>
      </c>
      <c r="C962" s="7" t="s">
        <v>17</v>
      </c>
      <c r="D962" s="7" t="str">
        <f>"李永强"</f>
        <v>李永强</v>
      </c>
      <c r="E962" s="7" t="str">
        <f>"男"</f>
        <v>男</v>
      </c>
      <c r="F962" s="7"/>
    </row>
    <row r="963" spans="1:6" ht="30" customHeight="1">
      <c r="A963" s="7">
        <v>961</v>
      </c>
      <c r="B963" s="7" t="str">
        <f>"34542021112208070151738"</f>
        <v>34542021112208070151738</v>
      </c>
      <c r="C963" s="7" t="s">
        <v>17</v>
      </c>
      <c r="D963" s="7" t="str">
        <f>"何健美"</f>
        <v>何健美</v>
      </c>
      <c r="E963" s="7" t="str">
        <f aca="true" t="shared" si="88" ref="E963:E1005">"女"</f>
        <v>女</v>
      </c>
      <c r="F963" s="7"/>
    </row>
    <row r="964" spans="1:6" ht="30" customHeight="1">
      <c r="A964" s="7">
        <v>962</v>
      </c>
      <c r="B964" s="7" t="str">
        <f>"34542021112208164851740"</f>
        <v>34542021112208164851740</v>
      </c>
      <c r="C964" s="7" t="s">
        <v>17</v>
      </c>
      <c r="D964" s="7" t="str">
        <f>"符庆英"</f>
        <v>符庆英</v>
      </c>
      <c r="E964" s="7" t="str">
        <f t="shared" si="88"/>
        <v>女</v>
      </c>
      <c r="F964" s="7"/>
    </row>
    <row r="965" spans="1:6" ht="30" customHeight="1">
      <c r="A965" s="7">
        <v>963</v>
      </c>
      <c r="B965" s="7" t="str">
        <f>"34542021112208201751741"</f>
        <v>34542021112208201751741</v>
      </c>
      <c r="C965" s="7" t="s">
        <v>17</v>
      </c>
      <c r="D965" s="7" t="str">
        <f>"王志妃"</f>
        <v>王志妃</v>
      </c>
      <c r="E965" s="7" t="str">
        <f t="shared" si="88"/>
        <v>女</v>
      </c>
      <c r="F965" s="7"/>
    </row>
    <row r="966" spans="1:6" ht="30" customHeight="1">
      <c r="A966" s="7">
        <v>964</v>
      </c>
      <c r="B966" s="7" t="str">
        <f>"34542021112208331451744"</f>
        <v>34542021112208331451744</v>
      </c>
      <c r="C966" s="7" t="s">
        <v>17</v>
      </c>
      <c r="D966" s="7" t="str">
        <f>"郭春柳"</f>
        <v>郭春柳</v>
      </c>
      <c r="E966" s="7" t="str">
        <f t="shared" si="88"/>
        <v>女</v>
      </c>
      <c r="F966" s="7"/>
    </row>
    <row r="967" spans="1:6" ht="30" customHeight="1">
      <c r="A967" s="7">
        <v>965</v>
      </c>
      <c r="B967" s="7" t="str">
        <f>"34542021112208482151750"</f>
        <v>34542021112208482151750</v>
      </c>
      <c r="C967" s="7" t="s">
        <v>17</v>
      </c>
      <c r="D967" s="7" t="str">
        <f>"林永玲"</f>
        <v>林永玲</v>
      </c>
      <c r="E967" s="7" t="str">
        <f t="shared" si="88"/>
        <v>女</v>
      </c>
      <c r="F967" s="7"/>
    </row>
    <row r="968" spans="1:6" ht="30" customHeight="1">
      <c r="A968" s="7">
        <v>966</v>
      </c>
      <c r="B968" s="7" t="str">
        <f>"34542021112208524051752"</f>
        <v>34542021112208524051752</v>
      </c>
      <c r="C968" s="7" t="s">
        <v>17</v>
      </c>
      <c r="D968" s="7" t="str">
        <f>"孙李娜"</f>
        <v>孙李娜</v>
      </c>
      <c r="E968" s="7" t="str">
        <f t="shared" si="88"/>
        <v>女</v>
      </c>
      <c r="F968" s="7"/>
    </row>
    <row r="969" spans="1:6" ht="30" customHeight="1">
      <c r="A969" s="7">
        <v>967</v>
      </c>
      <c r="B969" s="7" t="str">
        <f>"34542021112209051351756"</f>
        <v>34542021112209051351756</v>
      </c>
      <c r="C969" s="7" t="s">
        <v>17</v>
      </c>
      <c r="D969" s="7" t="str">
        <f>"朱尚翠"</f>
        <v>朱尚翠</v>
      </c>
      <c r="E969" s="7" t="str">
        <f t="shared" si="88"/>
        <v>女</v>
      </c>
      <c r="F969" s="7"/>
    </row>
    <row r="970" spans="1:6" ht="30" customHeight="1">
      <c r="A970" s="7">
        <v>968</v>
      </c>
      <c r="B970" s="7" t="str">
        <f>"34542021112209070651757"</f>
        <v>34542021112209070651757</v>
      </c>
      <c r="C970" s="7" t="s">
        <v>17</v>
      </c>
      <c r="D970" s="7" t="str">
        <f>"吴丽颖"</f>
        <v>吴丽颖</v>
      </c>
      <c r="E970" s="7" t="str">
        <f t="shared" si="88"/>
        <v>女</v>
      </c>
      <c r="F970" s="7"/>
    </row>
    <row r="971" spans="1:6" ht="30" customHeight="1">
      <c r="A971" s="7">
        <v>969</v>
      </c>
      <c r="B971" s="7" t="str">
        <f>"34542021112209080051759"</f>
        <v>34542021112209080051759</v>
      </c>
      <c r="C971" s="7" t="s">
        <v>17</v>
      </c>
      <c r="D971" s="7" t="str">
        <f>"傅山峰"</f>
        <v>傅山峰</v>
      </c>
      <c r="E971" s="7" t="str">
        <f t="shared" si="88"/>
        <v>女</v>
      </c>
      <c r="F971" s="7"/>
    </row>
    <row r="972" spans="1:6" ht="30" customHeight="1">
      <c r="A972" s="7">
        <v>970</v>
      </c>
      <c r="B972" s="7" t="str">
        <f>"34542021112209085351761"</f>
        <v>34542021112209085351761</v>
      </c>
      <c r="C972" s="7" t="s">
        <v>17</v>
      </c>
      <c r="D972" s="7" t="str">
        <f>"李宏妃"</f>
        <v>李宏妃</v>
      </c>
      <c r="E972" s="7" t="str">
        <f t="shared" si="88"/>
        <v>女</v>
      </c>
      <c r="F972" s="7"/>
    </row>
    <row r="973" spans="1:6" ht="30" customHeight="1">
      <c r="A973" s="7">
        <v>971</v>
      </c>
      <c r="B973" s="7" t="str">
        <f>"34542021112209091651762"</f>
        <v>34542021112209091651762</v>
      </c>
      <c r="C973" s="7" t="s">
        <v>17</v>
      </c>
      <c r="D973" s="7" t="str">
        <f>"陈定芳"</f>
        <v>陈定芳</v>
      </c>
      <c r="E973" s="7" t="str">
        <f t="shared" si="88"/>
        <v>女</v>
      </c>
      <c r="F973" s="7"/>
    </row>
    <row r="974" spans="1:6" ht="30" customHeight="1">
      <c r="A974" s="7">
        <v>972</v>
      </c>
      <c r="B974" s="7" t="str">
        <f>"34542021112209130551768"</f>
        <v>34542021112209130551768</v>
      </c>
      <c r="C974" s="7" t="s">
        <v>17</v>
      </c>
      <c r="D974" s="7" t="str">
        <f>"羊发翠"</f>
        <v>羊发翠</v>
      </c>
      <c r="E974" s="7" t="str">
        <f t="shared" si="88"/>
        <v>女</v>
      </c>
      <c r="F974" s="7"/>
    </row>
    <row r="975" spans="1:6" ht="30" customHeight="1">
      <c r="A975" s="7">
        <v>973</v>
      </c>
      <c r="B975" s="7" t="str">
        <f>"34542021112209161651771"</f>
        <v>34542021112209161651771</v>
      </c>
      <c r="C975" s="7" t="s">
        <v>17</v>
      </c>
      <c r="D975" s="7" t="str">
        <f>"李五美"</f>
        <v>李五美</v>
      </c>
      <c r="E975" s="7" t="str">
        <f t="shared" si="88"/>
        <v>女</v>
      </c>
      <c r="F975" s="7"/>
    </row>
    <row r="976" spans="1:6" ht="30" customHeight="1">
      <c r="A976" s="7">
        <v>974</v>
      </c>
      <c r="B976" s="7" t="str">
        <f>"34542021112209565751808"</f>
        <v>34542021112209565751808</v>
      </c>
      <c r="C976" s="7" t="s">
        <v>17</v>
      </c>
      <c r="D976" s="7" t="str">
        <f>"洪运玲"</f>
        <v>洪运玲</v>
      </c>
      <c r="E976" s="7" t="str">
        <f t="shared" si="88"/>
        <v>女</v>
      </c>
      <c r="F976" s="7"/>
    </row>
    <row r="977" spans="1:6" ht="30" customHeight="1">
      <c r="A977" s="7">
        <v>975</v>
      </c>
      <c r="B977" s="7" t="str">
        <f>"34542021112210035451812"</f>
        <v>34542021112210035451812</v>
      </c>
      <c r="C977" s="7" t="s">
        <v>17</v>
      </c>
      <c r="D977" s="7" t="str">
        <f>"简木爱"</f>
        <v>简木爱</v>
      </c>
      <c r="E977" s="7" t="str">
        <f t="shared" si="88"/>
        <v>女</v>
      </c>
      <c r="F977" s="7"/>
    </row>
    <row r="978" spans="1:6" ht="30" customHeight="1">
      <c r="A978" s="7">
        <v>976</v>
      </c>
      <c r="B978" s="7" t="str">
        <f>"34542021112210042051813"</f>
        <v>34542021112210042051813</v>
      </c>
      <c r="C978" s="7" t="s">
        <v>17</v>
      </c>
      <c r="D978" s="7" t="str">
        <f>"刘淑燕"</f>
        <v>刘淑燕</v>
      </c>
      <c r="E978" s="7" t="str">
        <f t="shared" si="88"/>
        <v>女</v>
      </c>
      <c r="F978" s="7"/>
    </row>
    <row r="979" spans="1:6" ht="30" customHeight="1">
      <c r="A979" s="7">
        <v>977</v>
      </c>
      <c r="B979" s="7" t="str">
        <f>"34542021112210112551818"</f>
        <v>34542021112210112551818</v>
      </c>
      <c r="C979" s="7" t="s">
        <v>17</v>
      </c>
      <c r="D979" s="7" t="str">
        <f>"羊秋玲"</f>
        <v>羊秋玲</v>
      </c>
      <c r="E979" s="7" t="str">
        <f t="shared" si="88"/>
        <v>女</v>
      </c>
      <c r="F979" s="7"/>
    </row>
    <row r="980" spans="1:6" ht="30" customHeight="1">
      <c r="A980" s="7">
        <v>978</v>
      </c>
      <c r="B980" s="7" t="str">
        <f>"34542021112210171651821"</f>
        <v>34542021112210171651821</v>
      </c>
      <c r="C980" s="7" t="s">
        <v>17</v>
      </c>
      <c r="D980" s="7" t="str">
        <f>"薛桃林"</f>
        <v>薛桃林</v>
      </c>
      <c r="E980" s="7" t="str">
        <f t="shared" si="88"/>
        <v>女</v>
      </c>
      <c r="F980" s="7"/>
    </row>
    <row r="981" spans="1:6" ht="30" customHeight="1">
      <c r="A981" s="7">
        <v>979</v>
      </c>
      <c r="B981" s="7" t="str">
        <f>"34542021112210171751822"</f>
        <v>34542021112210171751822</v>
      </c>
      <c r="C981" s="7" t="s">
        <v>17</v>
      </c>
      <c r="D981" s="7" t="str">
        <f>"王露遥"</f>
        <v>王露遥</v>
      </c>
      <c r="E981" s="7" t="str">
        <f t="shared" si="88"/>
        <v>女</v>
      </c>
      <c r="F981" s="7"/>
    </row>
    <row r="982" spans="1:6" ht="30" customHeight="1">
      <c r="A982" s="7">
        <v>980</v>
      </c>
      <c r="B982" s="7" t="str">
        <f>"34542021112210234251827"</f>
        <v>34542021112210234251827</v>
      </c>
      <c r="C982" s="7" t="s">
        <v>17</v>
      </c>
      <c r="D982" s="7" t="str">
        <f>"王爱凤"</f>
        <v>王爱凤</v>
      </c>
      <c r="E982" s="7" t="str">
        <f t="shared" si="88"/>
        <v>女</v>
      </c>
      <c r="F982" s="7"/>
    </row>
    <row r="983" spans="1:6" ht="30" customHeight="1">
      <c r="A983" s="7">
        <v>981</v>
      </c>
      <c r="B983" s="7" t="str">
        <f>"34542021112210262951829"</f>
        <v>34542021112210262951829</v>
      </c>
      <c r="C983" s="7" t="s">
        <v>17</v>
      </c>
      <c r="D983" s="7" t="str">
        <f>"王菁"</f>
        <v>王菁</v>
      </c>
      <c r="E983" s="7" t="str">
        <f t="shared" si="88"/>
        <v>女</v>
      </c>
      <c r="F983" s="7"/>
    </row>
    <row r="984" spans="1:6" ht="30" customHeight="1">
      <c r="A984" s="7">
        <v>982</v>
      </c>
      <c r="B984" s="7" t="str">
        <f>"34542021112210270551830"</f>
        <v>34542021112210270551830</v>
      </c>
      <c r="C984" s="7" t="s">
        <v>17</v>
      </c>
      <c r="D984" s="7" t="str">
        <f>"陈秀桂"</f>
        <v>陈秀桂</v>
      </c>
      <c r="E984" s="7" t="str">
        <f t="shared" si="88"/>
        <v>女</v>
      </c>
      <c r="F984" s="7"/>
    </row>
    <row r="985" spans="1:6" ht="30" customHeight="1">
      <c r="A985" s="7">
        <v>983</v>
      </c>
      <c r="B985" s="7" t="str">
        <f>"34542021112210320851832"</f>
        <v>34542021112210320851832</v>
      </c>
      <c r="C985" s="7" t="s">
        <v>17</v>
      </c>
      <c r="D985" s="7" t="str">
        <f>"李凤兰"</f>
        <v>李凤兰</v>
      </c>
      <c r="E985" s="7" t="str">
        <f t="shared" si="88"/>
        <v>女</v>
      </c>
      <c r="F985" s="7"/>
    </row>
    <row r="986" spans="1:6" ht="30" customHeight="1">
      <c r="A986" s="7">
        <v>984</v>
      </c>
      <c r="B986" s="7" t="str">
        <f>"34542021112210341251835"</f>
        <v>34542021112210341251835</v>
      </c>
      <c r="C986" s="7" t="s">
        <v>17</v>
      </c>
      <c r="D986" s="7" t="str">
        <f>"陈美君"</f>
        <v>陈美君</v>
      </c>
      <c r="E986" s="7" t="str">
        <f t="shared" si="88"/>
        <v>女</v>
      </c>
      <c r="F986" s="7"/>
    </row>
    <row r="987" spans="1:6" ht="30" customHeight="1">
      <c r="A987" s="7">
        <v>985</v>
      </c>
      <c r="B987" s="7" t="str">
        <f>"34542021112210352651841"</f>
        <v>34542021112210352651841</v>
      </c>
      <c r="C987" s="7" t="s">
        <v>17</v>
      </c>
      <c r="D987" s="7" t="str">
        <f>"黎善桥"</f>
        <v>黎善桥</v>
      </c>
      <c r="E987" s="7" t="str">
        <f t="shared" si="88"/>
        <v>女</v>
      </c>
      <c r="F987" s="7"/>
    </row>
    <row r="988" spans="1:6" ht="30" customHeight="1">
      <c r="A988" s="7">
        <v>986</v>
      </c>
      <c r="B988" s="7" t="str">
        <f>"34542021112210361351842"</f>
        <v>34542021112210361351842</v>
      </c>
      <c r="C988" s="7" t="s">
        <v>17</v>
      </c>
      <c r="D988" s="7" t="str">
        <f>"黎燕梅"</f>
        <v>黎燕梅</v>
      </c>
      <c r="E988" s="7" t="str">
        <f t="shared" si="88"/>
        <v>女</v>
      </c>
      <c r="F988" s="7"/>
    </row>
    <row r="989" spans="1:6" ht="30" customHeight="1">
      <c r="A989" s="7">
        <v>987</v>
      </c>
      <c r="B989" s="7" t="str">
        <f>"34542021112210362651843"</f>
        <v>34542021112210362651843</v>
      </c>
      <c r="C989" s="7" t="s">
        <v>17</v>
      </c>
      <c r="D989" s="7" t="str">
        <f>"李诗川"</f>
        <v>李诗川</v>
      </c>
      <c r="E989" s="7" t="str">
        <f t="shared" si="88"/>
        <v>女</v>
      </c>
      <c r="F989" s="7"/>
    </row>
    <row r="990" spans="1:6" ht="30" customHeight="1">
      <c r="A990" s="7">
        <v>988</v>
      </c>
      <c r="B990" s="7" t="str">
        <f>"34542021112210401151846"</f>
        <v>34542021112210401151846</v>
      </c>
      <c r="C990" s="7" t="s">
        <v>17</v>
      </c>
      <c r="D990" s="7" t="str">
        <f>"张晓慧"</f>
        <v>张晓慧</v>
      </c>
      <c r="E990" s="7" t="str">
        <f t="shared" si="88"/>
        <v>女</v>
      </c>
      <c r="F990" s="7"/>
    </row>
    <row r="991" spans="1:6" ht="30" customHeight="1">
      <c r="A991" s="7">
        <v>989</v>
      </c>
      <c r="B991" s="7" t="str">
        <f>"34542021112210413051847"</f>
        <v>34542021112210413051847</v>
      </c>
      <c r="C991" s="7" t="s">
        <v>17</v>
      </c>
      <c r="D991" s="7" t="str">
        <f>"苏彦英"</f>
        <v>苏彦英</v>
      </c>
      <c r="E991" s="7" t="str">
        <f t="shared" si="88"/>
        <v>女</v>
      </c>
      <c r="F991" s="7"/>
    </row>
    <row r="992" spans="1:6" ht="30" customHeight="1">
      <c r="A992" s="7">
        <v>990</v>
      </c>
      <c r="B992" s="7" t="str">
        <f>"34542021112210444051851"</f>
        <v>34542021112210444051851</v>
      </c>
      <c r="C992" s="7" t="s">
        <v>17</v>
      </c>
      <c r="D992" s="7" t="str">
        <f>"刘春桃"</f>
        <v>刘春桃</v>
      </c>
      <c r="E992" s="7" t="str">
        <f t="shared" si="88"/>
        <v>女</v>
      </c>
      <c r="F992" s="7"/>
    </row>
    <row r="993" spans="1:6" ht="30" customHeight="1">
      <c r="A993" s="7">
        <v>991</v>
      </c>
      <c r="B993" s="7" t="str">
        <f>"34542021112210445151852"</f>
        <v>34542021112210445151852</v>
      </c>
      <c r="C993" s="7" t="s">
        <v>17</v>
      </c>
      <c r="D993" s="7" t="str">
        <f>"文江莲"</f>
        <v>文江莲</v>
      </c>
      <c r="E993" s="7" t="str">
        <f t="shared" si="88"/>
        <v>女</v>
      </c>
      <c r="F993" s="7"/>
    </row>
    <row r="994" spans="1:6" ht="30" customHeight="1">
      <c r="A994" s="7">
        <v>992</v>
      </c>
      <c r="B994" s="7" t="str">
        <f>"34542021112210594951860"</f>
        <v>34542021112210594951860</v>
      </c>
      <c r="C994" s="7" t="s">
        <v>17</v>
      </c>
      <c r="D994" s="7" t="str">
        <f>"韩秋凤"</f>
        <v>韩秋凤</v>
      </c>
      <c r="E994" s="7" t="str">
        <f t="shared" si="88"/>
        <v>女</v>
      </c>
      <c r="F994" s="7"/>
    </row>
    <row r="995" spans="1:6" ht="30" customHeight="1">
      <c r="A995" s="7">
        <v>993</v>
      </c>
      <c r="B995" s="7" t="str">
        <f>"34542021112211015651861"</f>
        <v>34542021112211015651861</v>
      </c>
      <c r="C995" s="7" t="s">
        <v>17</v>
      </c>
      <c r="D995" s="7" t="str">
        <f>"杨雄教"</f>
        <v>杨雄教</v>
      </c>
      <c r="E995" s="7" t="str">
        <f t="shared" si="88"/>
        <v>女</v>
      </c>
      <c r="F995" s="7"/>
    </row>
    <row r="996" spans="1:6" ht="30" customHeight="1">
      <c r="A996" s="7">
        <v>994</v>
      </c>
      <c r="B996" s="7" t="str">
        <f>"34542021112211073251863"</f>
        <v>34542021112211073251863</v>
      </c>
      <c r="C996" s="7" t="s">
        <v>17</v>
      </c>
      <c r="D996" s="7" t="str">
        <f>"吴丽红"</f>
        <v>吴丽红</v>
      </c>
      <c r="E996" s="7" t="str">
        <f t="shared" si="88"/>
        <v>女</v>
      </c>
      <c r="F996" s="7"/>
    </row>
    <row r="997" spans="1:6" ht="30" customHeight="1">
      <c r="A997" s="7">
        <v>995</v>
      </c>
      <c r="B997" s="7" t="str">
        <f>"34542021112211144451864"</f>
        <v>34542021112211144451864</v>
      </c>
      <c r="C997" s="7" t="s">
        <v>17</v>
      </c>
      <c r="D997" s="7" t="str">
        <f>"赵金姿"</f>
        <v>赵金姿</v>
      </c>
      <c r="E997" s="7" t="str">
        <f t="shared" si="88"/>
        <v>女</v>
      </c>
      <c r="F997" s="7"/>
    </row>
    <row r="998" spans="1:6" ht="30" customHeight="1">
      <c r="A998" s="7">
        <v>996</v>
      </c>
      <c r="B998" s="7" t="str">
        <f>"34542021112211285251870"</f>
        <v>34542021112211285251870</v>
      </c>
      <c r="C998" s="7" t="s">
        <v>17</v>
      </c>
      <c r="D998" s="7" t="str">
        <f>"陈金成"</f>
        <v>陈金成</v>
      </c>
      <c r="E998" s="7" t="str">
        <f t="shared" si="88"/>
        <v>女</v>
      </c>
      <c r="F998" s="7"/>
    </row>
    <row r="999" spans="1:6" ht="30" customHeight="1">
      <c r="A999" s="7">
        <v>997</v>
      </c>
      <c r="B999" s="7" t="str">
        <f>"34542021112211380251876"</f>
        <v>34542021112211380251876</v>
      </c>
      <c r="C999" s="7" t="s">
        <v>17</v>
      </c>
      <c r="D999" s="7" t="str">
        <f>"李开振"</f>
        <v>李开振</v>
      </c>
      <c r="E999" s="7" t="str">
        <f t="shared" si="88"/>
        <v>女</v>
      </c>
      <c r="F999" s="7"/>
    </row>
    <row r="1000" spans="1:6" ht="30" customHeight="1">
      <c r="A1000" s="7">
        <v>998</v>
      </c>
      <c r="B1000" s="7" t="str">
        <f>"34542021112211380751877"</f>
        <v>34542021112211380751877</v>
      </c>
      <c r="C1000" s="7" t="s">
        <v>17</v>
      </c>
      <c r="D1000" s="7" t="str">
        <f>"邓彩妮"</f>
        <v>邓彩妮</v>
      </c>
      <c r="E1000" s="7" t="str">
        <f t="shared" si="88"/>
        <v>女</v>
      </c>
      <c r="F1000" s="7"/>
    </row>
    <row r="1001" spans="1:6" ht="30" customHeight="1">
      <c r="A1001" s="7">
        <v>999</v>
      </c>
      <c r="B1001" s="7" t="str">
        <f>"34542021112211393751879"</f>
        <v>34542021112211393751879</v>
      </c>
      <c r="C1001" s="7" t="s">
        <v>17</v>
      </c>
      <c r="D1001" s="7" t="str">
        <f>"张梅菊"</f>
        <v>张梅菊</v>
      </c>
      <c r="E1001" s="7" t="str">
        <f t="shared" si="88"/>
        <v>女</v>
      </c>
      <c r="F1001" s="7"/>
    </row>
    <row r="1002" spans="1:6" ht="30" customHeight="1">
      <c r="A1002" s="7">
        <v>1000</v>
      </c>
      <c r="B1002" s="7" t="str">
        <f>"34542021112211452451882"</f>
        <v>34542021112211452451882</v>
      </c>
      <c r="C1002" s="7" t="s">
        <v>17</v>
      </c>
      <c r="D1002" s="7" t="str">
        <f>"黄河玉"</f>
        <v>黄河玉</v>
      </c>
      <c r="E1002" s="7" t="str">
        <f t="shared" si="88"/>
        <v>女</v>
      </c>
      <c r="F1002" s="7"/>
    </row>
    <row r="1003" spans="1:6" ht="30" customHeight="1">
      <c r="A1003" s="7">
        <v>1001</v>
      </c>
      <c r="B1003" s="7" t="str">
        <f>"34542021112211455051883"</f>
        <v>34542021112211455051883</v>
      </c>
      <c r="C1003" s="7" t="s">
        <v>17</v>
      </c>
      <c r="D1003" s="7" t="str">
        <f>"谢景玲"</f>
        <v>谢景玲</v>
      </c>
      <c r="E1003" s="7" t="str">
        <f t="shared" si="88"/>
        <v>女</v>
      </c>
      <c r="F1003" s="7"/>
    </row>
    <row r="1004" spans="1:6" ht="30" customHeight="1">
      <c r="A1004" s="7">
        <v>1002</v>
      </c>
      <c r="B1004" s="7" t="str">
        <f>"34542021112212085351893"</f>
        <v>34542021112212085351893</v>
      </c>
      <c r="C1004" s="7" t="s">
        <v>17</v>
      </c>
      <c r="D1004" s="7" t="str">
        <f>"李桂梅"</f>
        <v>李桂梅</v>
      </c>
      <c r="E1004" s="7" t="str">
        <f t="shared" si="88"/>
        <v>女</v>
      </c>
      <c r="F1004" s="7"/>
    </row>
    <row r="1005" spans="1:6" ht="30" customHeight="1">
      <c r="A1005" s="7">
        <v>1003</v>
      </c>
      <c r="B1005" s="7" t="str">
        <f>"34542021112212321651901"</f>
        <v>34542021112212321651901</v>
      </c>
      <c r="C1005" s="7" t="s">
        <v>17</v>
      </c>
      <c r="D1005" s="7" t="str">
        <f>"苏瑞丹"</f>
        <v>苏瑞丹</v>
      </c>
      <c r="E1005" s="7" t="str">
        <f t="shared" si="88"/>
        <v>女</v>
      </c>
      <c r="F1005" s="7"/>
    </row>
    <row r="1006" spans="1:6" ht="30" customHeight="1">
      <c r="A1006" s="7">
        <v>1004</v>
      </c>
      <c r="B1006" s="7" t="str">
        <f>"34542021112212460851906"</f>
        <v>34542021112212460851906</v>
      </c>
      <c r="C1006" s="7" t="s">
        <v>17</v>
      </c>
      <c r="D1006" s="7" t="str">
        <f>"王嘉年"</f>
        <v>王嘉年</v>
      </c>
      <c r="E1006" s="7" t="str">
        <f>"男"</f>
        <v>男</v>
      </c>
      <c r="F1006" s="7"/>
    </row>
    <row r="1007" spans="1:6" ht="30" customHeight="1">
      <c r="A1007" s="7">
        <v>1005</v>
      </c>
      <c r="B1007" s="7" t="str">
        <f>"34542021112212530051908"</f>
        <v>34542021112212530051908</v>
      </c>
      <c r="C1007" s="7" t="s">
        <v>17</v>
      </c>
      <c r="D1007" s="7" t="str">
        <f>"陈荣兰"</f>
        <v>陈荣兰</v>
      </c>
      <c r="E1007" s="7" t="str">
        <f aca="true" t="shared" si="89" ref="E1007:E1025">"女"</f>
        <v>女</v>
      </c>
      <c r="F1007" s="7"/>
    </row>
    <row r="1008" spans="1:6" ht="30" customHeight="1">
      <c r="A1008" s="7">
        <v>1006</v>
      </c>
      <c r="B1008" s="7" t="str">
        <f>"34542021112212534451909"</f>
        <v>34542021112212534451909</v>
      </c>
      <c r="C1008" s="7" t="s">
        <v>17</v>
      </c>
      <c r="D1008" s="7" t="str">
        <f>"陈英和"</f>
        <v>陈英和</v>
      </c>
      <c r="E1008" s="7" t="str">
        <f t="shared" si="89"/>
        <v>女</v>
      </c>
      <c r="F1008" s="7"/>
    </row>
    <row r="1009" spans="1:6" ht="30" customHeight="1">
      <c r="A1009" s="7">
        <v>1007</v>
      </c>
      <c r="B1009" s="7" t="str">
        <f>"34542021112212565351910"</f>
        <v>34542021112212565351910</v>
      </c>
      <c r="C1009" s="7" t="s">
        <v>17</v>
      </c>
      <c r="D1009" s="7" t="str">
        <f>"李恩女"</f>
        <v>李恩女</v>
      </c>
      <c r="E1009" s="7" t="str">
        <f t="shared" si="89"/>
        <v>女</v>
      </c>
      <c r="F1009" s="7"/>
    </row>
    <row r="1010" spans="1:6" ht="30" customHeight="1">
      <c r="A1010" s="7">
        <v>1008</v>
      </c>
      <c r="B1010" s="7" t="str">
        <f>"34542021112213101251915"</f>
        <v>34542021112213101251915</v>
      </c>
      <c r="C1010" s="7" t="s">
        <v>17</v>
      </c>
      <c r="D1010" s="7" t="str">
        <f>"李玲玉"</f>
        <v>李玲玉</v>
      </c>
      <c r="E1010" s="7" t="str">
        <f t="shared" si="89"/>
        <v>女</v>
      </c>
      <c r="F1010" s="7"/>
    </row>
    <row r="1011" spans="1:6" ht="30" customHeight="1">
      <c r="A1011" s="7">
        <v>1009</v>
      </c>
      <c r="B1011" s="7" t="str">
        <f>"34542021112213103351916"</f>
        <v>34542021112213103351916</v>
      </c>
      <c r="C1011" s="7" t="s">
        <v>17</v>
      </c>
      <c r="D1011" s="7" t="str">
        <f>"陈国丽"</f>
        <v>陈国丽</v>
      </c>
      <c r="E1011" s="7" t="str">
        <f t="shared" si="89"/>
        <v>女</v>
      </c>
      <c r="F1011" s="7"/>
    </row>
    <row r="1012" spans="1:6" ht="30" customHeight="1">
      <c r="A1012" s="7">
        <v>1010</v>
      </c>
      <c r="B1012" s="7" t="str">
        <f>"34542021112213215151920"</f>
        <v>34542021112213215151920</v>
      </c>
      <c r="C1012" s="7" t="s">
        <v>17</v>
      </c>
      <c r="D1012" s="7" t="str">
        <f>"刘慧婷"</f>
        <v>刘慧婷</v>
      </c>
      <c r="E1012" s="7" t="str">
        <f t="shared" si="89"/>
        <v>女</v>
      </c>
      <c r="F1012" s="7"/>
    </row>
    <row r="1013" spans="1:6" ht="30" customHeight="1">
      <c r="A1013" s="7">
        <v>1011</v>
      </c>
      <c r="B1013" s="7" t="str">
        <f>"34542021112213231951922"</f>
        <v>34542021112213231951922</v>
      </c>
      <c r="C1013" s="7" t="s">
        <v>17</v>
      </c>
      <c r="D1013" s="7" t="str">
        <f>"羊初坤"</f>
        <v>羊初坤</v>
      </c>
      <c r="E1013" s="7" t="str">
        <f t="shared" si="89"/>
        <v>女</v>
      </c>
      <c r="F1013" s="7"/>
    </row>
    <row r="1014" spans="1:6" ht="30" customHeight="1">
      <c r="A1014" s="7">
        <v>1012</v>
      </c>
      <c r="B1014" s="7" t="str">
        <f>"34542021112213503251925"</f>
        <v>34542021112213503251925</v>
      </c>
      <c r="C1014" s="7" t="s">
        <v>17</v>
      </c>
      <c r="D1014" s="7" t="str">
        <f>"梁曼"</f>
        <v>梁曼</v>
      </c>
      <c r="E1014" s="7" t="str">
        <f t="shared" si="89"/>
        <v>女</v>
      </c>
      <c r="F1014" s="7"/>
    </row>
    <row r="1015" spans="1:6" ht="30" customHeight="1">
      <c r="A1015" s="7">
        <v>1013</v>
      </c>
      <c r="B1015" s="7" t="str">
        <f>"34542021112213584051928"</f>
        <v>34542021112213584051928</v>
      </c>
      <c r="C1015" s="7" t="s">
        <v>17</v>
      </c>
      <c r="D1015" s="7" t="str">
        <f>"张鸾艳"</f>
        <v>张鸾艳</v>
      </c>
      <c r="E1015" s="7" t="str">
        <f t="shared" si="89"/>
        <v>女</v>
      </c>
      <c r="F1015" s="7"/>
    </row>
    <row r="1016" spans="1:6" ht="30" customHeight="1">
      <c r="A1016" s="7">
        <v>1014</v>
      </c>
      <c r="B1016" s="7" t="str">
        <f>"34542021112214012351929"</f>
        <v>34542021112214012351929</v>
      </c>
      <c r="C1016" s="7" t="s">
        <v>17</v>
      </c>
      <c r="D1016" s="7" t="str">
        <f>"符秀坤"</f>
        <v>符秀坤</v>
      </c>
      <c r="E1016" s="7" t="str">
        <f t="shared" si="89"/>
        <v>女</v>
      </c>
      <c r="F1016" s="7"/>
    </row>
    <row r="1017" spans="1:6" ht="30" customHeight="1">
      <c r="A1017" s="7">
        <v>1015</v>
      </c>
      <c r="B1017" s="7" t="str">
        <f>"34542021112214015351930"</f>
        <v>34542021112214015351930</v>
      </c>
      <c r="C1017" s="7" t="s">
        <v>17</v>
      </c>
      <c r="D1017" s="7" t="str">
        <f>"侯英梅"</f>
        <v>侯英梅</v>
      </c>
      <c r="E1017" s="7" t="str">
        <f t="shared" si="89"/>
        <v>女</v>
      </c>
      <c r="F1017" s="7"/>
    </row>
    <row r="1018" spans="1:6" ht="30" customHeight="1">
      <c r="A1018" s="7">
        <v>1016</v>
      </c>
      <c r="B1018" s="7" t="str">
        <f>"34542021112214055051931"</f>
        <v>34542021112214055051931</v>
      </c>
      <c r="C1018" s="7" t="s">
        <v>17</v>
      </c>
      <c r="D1018" s="7" t="str">
        <f>"陈金保"</f>
        <v>陈金保</v>
      </c>
      <c r="E1018" s="7" t="str">
        <f t="shared" si="89"/>
        <v>女</v>
      </c>
      <c r="F1018" s="7"/>
    </row>
    <row r="1019" spans="1:6" ht="30" customHeight="1">
      <c r="A1019" s="7">
        <v>1017</v>
      </c>
      <c r="B1019" s="7" t="str">
        <f>"34542021112214072251932"</f>
        <v>34542021112214072251932</v>
      </c>
      <c r="C1019" s="7" t="s">
        <v>17</v>
      </c>
      <c r="D1019" s="7" t="str">
        <f>"唐五妹"</f>
        <v>唐五妹</v>
      </c>
      <c r="E1019" s="7" t="str">
        <f t="shared" si="89"/>
        <v>女</v>
      </c>
      <c r="F1019" s="7"/>
    </row>
    <row r="1020" spans="1:6" ht="30" customHeight="1">
      <c r="A1020" s="7">
        <v>1018</v>
      </c>
      <c r="B1020" s="7" t="str">
        <f>"34542021112214101451933"</f>
        <v>34542021112214101451933</v>
      </c>
      <c r="C1020" s="7" t="s">
        <v>17</v>
      </c>
      <c r="D1020" s="7" t="str">
        <f>"陈俐儒"</f>
        <v>陈俐儒</v>
      </c>
      <c r="E1020" s="7" t="str">
        <f t="shared" si="89"/>
        <v>女</v>
      </c>
      <c r="F1020" s="7"/>
    </row>
    <row r="1021" spans="1:6" ht="30" customHeight="1">
      <c r="A1021" s="7">
        <v>1019</v>
      </c>
      <c r="B1021" s="7" t="str">
        <f>"34542021112214241151935"</f>
        <v>34542021112214241151935</v>
      </c>
      <c r="C1021" s="7" t="s">
        <v>17</v>
      </c>
      <c r="D1021" s="7" t="str">
        <f>"蔡玉娇"</f>
        <v>蔡玉娇</v>
      </c>
      <c r="E1021" s="7" t="str">
        <f t="shared" si="89"/>
        <v>女</v>
      </c>
      <c r="F1021" s="7"/>
    </row>
    <row r="1022" spans="1:6" ht="30" customHeight="1">
      <c r="A1022" s="7">
        <v>1020</v>
      </c>
      <c r="B1022" s="7" t="str">
        <f>"34542021112214505751947"</f>
        <v>34542021112214505751947</v>
      </c>
      <c r="C1022" s="7" t="s">
        <v>17</v>
      </c>
      <c r="D1022" s="7" t="str">
        <f>"李平春"</f>
        <v>李平春</v>
      </c>
      <c r="E1022" s="7" t="str">
        <f t="shared" si="89"/>
        <v>女</v>
      </c>
      <c r="F1022" s="7"/>
    </row>
    <row r="1023" spans="1:6" ht="30" customHeight="1">
      <c r="A1023" s="7">
        <v>1021</v>
      </c>
      <c r="B1023" s="7" t="str">
        <f>"34542021112215044651950"</f>
        <v>34542021112215044651950</v>
      </c>
      <c r="C1023" s="7" t="s">
        <v>17</v>
      </c>
      <c r="D1023" s="7" t="str">
        <f>"陈长菊"</f>
        <v>陈长菊</v>
      </c>
      <c r="E1023" s="7" t="str">
        <f t="shared" si="89"/>
        <v>女</v>
      </c>
      <c r="F1023" s="7"/>
    </row>
    <row r="1024" spans="1:6" ht="30" customHeight="1">
      <c r="A1024" s="7">
        <v>1022</v>
      </c>
      <c r="B1024" s="7" t="str">
        <f>"34542021112215112251952"</f>
        <v>34542021112215112251952</v>
      </c>
      <c r="C1024" s="7" t="s">
        <v>17</v>
      </c>
      <c r="D1024" s="7" t="str">
        <f>"符永芬"</f>
        <v>符永芬</v>
      </c>
      <c r="E1024" s="7" t="str">
        <f t="shared" si="89"/>
        <v>女</v>
      </c>
      <c r="F1024" s="7"/>
    </row>
    <row r="1025" spans="1:6" ht="30" customHeight="1">
      <c r="A1025" s="7">
        <v>1023</v>
      </c>
      <c r="B1025" s="7" t="str">
        <f>"34542021112215175751960"</f>
        <v>34542021112215175751960</v>
      </c>
      <c r="C1025" s="7" t="s">
        <v>17</v>
      </c>
      <c r="D1025" s="7" t="str">
        <f>"陈永爱"</f>
        <v>陈永爱</v>
      </c>
      <c r="E1025" s="7" t="str">
        <f t="shared" si="89"/>
        <v>女</v>
      </c>
      <c r="F1025" s="7"/>
    </row>
    <row r="1026" spans="1:6" ht="30" customHeight="1">
      <c r="A1026" s="7">
        <v>1024</v>
      </c>
      <c r="B1026" s="7" t="str">
        <f>"34542021112215252251963"</f>
        <v>34542021112215252251963</v>
      </c>
      <c r="C1026" s="7" t="s">
        <v>17</v>
      </c>
      <c r="D1026" s="7" t="str">
        <f>"符土亮"</f>
        <v>符土亮</v>
      </c>
      <c r="E1026" s="7" t="str">
        <f>"男"</f>
        <v>男</v>
      </c>
      <c r="F1026" s="7"/>
    </row>
    <row r="1027" spans="1:6" ht="30" customHeight="1">
      <c r="A1027" s="7">
        <v>1025</v>
      </c>
      <c r="B1027" s="7" t="str">
        <f>"34542021112215253151964"</f>
        <v>34542021112215253151964</v>
      </c>
      <c r="C1027" s="7" t="s">
        <v>17</v>
      </c>
      <c r="D1027" s="7" t="str">
        <f>"唐金兰"</f>
        <v>唐金兰</v>
      </c>
      <c r="E1027" s="7" t="str">
        <f aca="true" t="shared" si="90" ref="E1027:E1064">"女"</f>
        <v>女</v>
      </c>
      <c r="F1027" s="7"/>
    </row>
    <row r="1028" spans="1:6" ht="30" customHeight="1">
      <c r="A1028" s="7">
        <v>1026</v>
      </c>
      <c r="B1028" s="7" t="str">
        <f>"34542021112215281351965"</f>
        <v>34542021112215281351965</v>
      </c>
      <c r="C1028" s="7" t="s">
        <v>17</v>
      </c>
      <c r="D1028" s="7" t="str">
        <f>"谢明兰"</f>
        <v>谢明兰</v>
      </c>
      <c r="E1028" s="7" t="str">
        <f t="shared" si="90"/>
        <v>女</v>
      </c>
      <c r="F1028" s="7"/>
    </row>
    <row r="1029" spans="1:6" ht="30" customHeight="1">
      <c r="A1029" s="7">
        <v>1027</v>
      </c>
      <c r="B1029" s="7" t="str">
        <f>"34542021112215285951968"</f>
        <v>34542021112215285951968</v>
      </c>
      <c r="C1029" s="7" t="s">
        <v>17</v>
      </c>
      <c r="D1029" s="7" t="str">
        <f>"郑胜芸"</f>
        <v>郑胜芸</v>
      </c>
      <c r="E1029" s="7" t="str">
        <f t="shared" si="90"/>
        <v>女</v>
      </c>
      <c r="F1029" s="7"/>
    </row>
    <row r="1030" spans="1:6" ht="30" customHeight="1">
      <c r="A1030" s="7">
        <v>1028</v>
      </c>
      <c r="B1030" s="7" t="str">
        <f>"34542021112215292251969"</f>
        <v>34542021112215292251969</v>
      </c>
      <c r="C1030" s="7" t="s">
        <v>17</v>
      </c>
      <c r="D1030" s="7" t="str">
        <f>"符月花"</f>
        <v>符月花</v>
      </c>
      <c r="E1030" s="7" t="str">
        <f t="shared" si="90"/>
        <v>女</v>
      </c>
      <c r="F1030" s="7"/>
    </row>
    <row r="1031" spans="1:6" ht="30" customHeight="1">
      <c r="A1031" s="7">
        <v>1029</v>
      </c>
      <c r="B1031" s="7" t="str">
        <f>"34542021112215301951970"</f>
        <v>34542021112215301951970</v>
      </c>
      <c r="C1031" s="7" t="s">
        <v>17</v>
      </c>
      <c r="D1031" s="7" t="str">
        <f>"陈乾秋"</f>
        <v>陈乾秋</v>
      </c>
      <c r="E1031" s="7" t="str">
        <f t="shared" si="90"/>
        <v>女</v>
      </c>
      <c r="F1031" s="7"/>
    </row>
    <row r="1032" spans="1:6" ht="30" customHeight="1">
      <c r="A1032" s="7">
        <v>1030</v>
      </c>
      <c r="B1032" s="7" t="str">
        <f>"34542021112215342751974"</f>
        <v>34542021112215342751974</v>
      </c>
      <c r="C1032" s="7" t="s">
        <v>17</v>
      </c>
      <c r="D1032" s="7" t="str">
        <f>"谢晓梅"</f>
        <v>谢晓梅</v>
      </c>
      <c r="E1032" s="7" t="str">
        <f t="shared" si="90"/>
        <v>女</v>
      </c>
      <c r="F1032" s="7"/>
    </row>
    <row r="1033" spans="1:6" ht="30" customHeight="1">
      <c r="A1033" s="7">
        <v>1031</v>
      </c>
      <c r="B1033" s="7" t="str">
        <f>"34542021112215355151975"</f>
        <v>34542021112215355151975</v>
      </c>
      <c r="C1033" s="7" t="s">
        <v>17</v>
      </c>
      <c r="D1033" s="7" t="str">
        <f>"陈土香"</f>
        <v>陈土香</v>
      </c>
      <c r="E1033" s="7" t="str">
        <f t="shared" si="90"/>
        <v>女</v>
      </c>
      <c r="F1033" s="7"/>
    </row>
    <row r="1034" spans="1:6" ht="30" customHeight="1">
      <c r="A1034" s="7">
        <v>1032</v>
      </c>
      <c r="B1034" s="7" t="str">
        <f>"34542021112215422551978"</f>
        <v>34542021112215422551978</v>
      </c>
      <c r="C1034" s="7" t="s">
        <v>17</v>
      </c>
      <c r="D1034" s="7" t="str">
        <f>"陈秀莲"</f>
        <v>陈秀莲</v>
      </c>
      <c r="E1034" s="7" t="str">
        <f t="shared" si="90"/>
        <v>女</v>
      </c>
      <c r="F1034" s="7"/>
    </row>
    <row r="1035" spans="1:6" ht="30" customHeight="1">
      <c r="A1035" s="7">
        <v>1033</v>
      </c>
      <c r="B1035" s="7" t="str">
        <f>"34542021112215511351987"</f>
        <v>34542021112215511351987</v>
      </c>
      <c r="C1035" s="7" t="s">
        <v>17</v>
      </c>
      <c r="D1035" s="7" t="str">
        <f>"曾引振"</f>
        <v>曾引振</v>
      </c>
      <c r="E1035" s="7" t="str">
        <f t="shared" si="90"/>
        <v>女</v>
      </c>
      <c r="F1035" s="7"/>
    </row>
    <row r="1036" spans="1:6" ht="30" customHeight="1">
      <c r="A1036" s="7">
        <v>1034</v>
      </c>
      <c r="B1036" s="7" t="str">
        <f>"34542021112215585251990"</f>
        <v>34542021112215585251990</v>
      </c>
      <c r="C1036" s="7" t="s">
        <v>17</v>
      </c>
      <c r="D1036" s="7" t="str">
        <f>"羊月"</f>
        <v>羊月</v>
      </c>
      <c r="E1036" s="7" t="str">
        <f t="shared" si="90"/>
        <v>女</v>
      </c>
      <c r="F1036" s="7"/>
    </row>
    <row r="1037" spans="1:6" ht="30" customHeight="1">
      <c r="A1037" s="7">
        <v>1035</v>
      </c>
      <c r="B1037" s="7" t="str">
        <f>"34542021112216065851993"</f>
        <v>34542021112216065851993</v>
      </c>
      <c r="C1037" s="7" t="s">
        <v>17</v>
      </c>
      <c r="D1037" s="7" t="str">
        <f>"李兑坤"</f>
        <v>李兑坤</v>
      </c>
      <c r="E1037" s="7" t="str">
        <f t="shared" si="90"/>
        <v>女</v>
      </c>
      <c r="F1037" s="7"/>
    </row>
    <row r="1038" spans="1:6" ht="30" customHeight="1">
      <c r="A1038" s="7">
        <v>1036</v>
      </c>
      <c r="B1038" s="7" t="str">
        <f>"34542021112216072351994"</f>
        <v>34542021112216072351994</v>
      </c>
      <c r="C1038" s="7" t="s">
        <v>17</v>
      </c>
      <c r="D1038" s="7" t="str">
        <f>"陈带坤"</f>
        <v>陈带坤</v>
      </c>
      <c r="E1038" s="7" t="str">
        <f t="shared" si="90"/>
        <v>女</v>
      </c>
      <c r="F1038" s="7"/>
    </row>
    <row r="1039" spans="1:6" ht="30" customHeight="1">
      <c r="A1039" s="7">
        <v>1037</v>
      </c>
      <c r="B1039" s="7" t="str">
        <f>"34542021112216100651995"</f>
        <v>34542021112216100651995</v>
      </c>
      <c r="C1039" s="7" t="s">
        <v>17</v>
      </c>
      <c r="D1039" s="7" t="str">
        <f>"谢河宝"</f>
        <v>谢河宝</v>
      </c>
      <c r="E1039" s="7" t="str">
        <f t="shared" si="90"/>
        <v>女</v>
      </c>
      <c r="F1039" s="7"/>
    </row>
    <row r="1040" spans="1:6" ht="30" customHeight="1">
      <c r="A1040" s="7">
        <v>1038</v>
      </c>
      <c r="B1040" s="7" t="str">
        <f>"34542021112216110051996"</f>
        <v>34542021112216110051996</v>
      </c>
      <c r="C1040" s="7" t="s">
        <v>17</v>
      </c>
      <c r="D1040" s="7" t="str">
        <f>"吴文丽"</f>
        <v>吴文丽</v>
      </c>
      <c r="E1040" s="7" t="str">
        <f t="shared" si="90"/>
        <v>女</v>
      </c>
      <c r="F1040" s="7"/>
    </row>
    <row r="1041" spans="1:6" ht="30" customHeight="1">
      <c r="A1041" s="7">
        <v>1039</v>
      </c>
      <c r="B1041" s="7" t="str">
        <f>"34542021112216112451997"</f>
        <v>34542021112216112451997</v>
      </c>
      <c r="C1041" s="7" t="s">
        <v>17</v>
      </c>
      <c r="D1041" s="7" t="str">
        <f>"蔡玉媚"</f>
        <v>蔡玉媚</v>
      </c>
      <c r="E1041" s="7" t="str">
        <f t="shared" si="90"/>
        <v>女</v>
      </c>
      <c r="F1041" s="7"/>
    </row>
    <row r="1042" spans="1:6" ht="30" customHeight="1">
      <c r="A1042" s="7">
        <v>1040</v>
      </c>
      <c r="B1042" s="7" t="str">
        <f>"34542021112216144252000"</f>
        <v>34542021112216144252000</v>
      </c>
      <c r="C1042" s="7" t="s">
        <v>17</v>
      </c>
      <c r="D1042" s="7" t="str">
        <f>"唐秋嘉"</f>
        <v>唐秋嘉</v>
      </c>
      <c r="E1042" s="7" t="str">
        <f t="shared" si="90"/>
        <v>女</v>
      </c>
      <c r="F1042" s="7"/>
    </row>
    <row r="1043" spans="1:6" ht="30" customHeight="1">
      <c r="A1043" s="7">
        <v>1041</v>
      </c>
      <c r="B1043" s="7" t="str">
        <f>"34542021112216160152002"</f>
        <v>34542021112216160152002</v>
      </c>
      <c r="C1043" s="7" t="s">
        <v>17</v>
      </c>
      <c r="D1043" s="7" t="str">
        <f>"陈慧姬"</f>
        <v>陈慧姬</v>
      </c>
      <c r="E1043" s="7" t="str">
        <f t="shared" si="90"/>
        <v>女</v>
      </c>
      <c r="F1043" s="7"/>
    </row>
    <row r="1044" spans="1:6" ht="30" customHeight="1">
      <c r="A1044" s="7">
        <v>1042</v>
      </c>
      <c r="B1044" s="7" t="str">
        <f>"34542021112216172252004"</f>
        <v>34542021112216172252004</v>
      </c>
      <c r="C1044" s="7" t="s">
        <v>17</v>
      </c>
      <c r="D1044" s="7" t="str">
        <f>"刘南婧"</f>
        <v>刘南婧</v>
      </c>
      <c r="E1044" s="7" t="str">
        <f t="shared" si="90"/>
        <v>女</v>
      </c>
      <c r="F1044" s="7"/>
    </row>
    <row r="1045" spans="1:6" ht="30" customHeight="1">
      <c r="A1045" s="7">
        <v>1043</v>
      </c>
      <c r="B1045" s="7" t="str">
        <f>"34542021112216191752006"</f>
        <v>34542021112216191752006</v>
      </c>
      <c r="C1045" s="7" t="s">
        <v>17</v>
      </c>
      <c r="D1045" s="7" t="str">
        <f>"郑庆联"</f>
        <v>郑庆联</v>
      </c>
      <c r="E1045" s="7" t="str">
        <f t="shared" si="90"/>
        <v>女</v>
      </c>
      <c r="F1045" s="7"/>
    </row>
    <row r="1046" spans="1:6" ht="30" customHeight="1">
      <c r="A1046" s="7">
        <v>1044</v>
      </c>
      <c r="B1046" s="7" t="str">
        <f>"34542021112216221452008"</f>
        <v>34542021112216221452008</v>
      </c>
      <c r="C1046" s="7" t="s">
        <v>17</v>
      </c>
      <c r="D1046" s="7" t="str">
        <f>"顾裕芳"</f>
        <v>顾裕芳</v>
      </c>
      <c r="E1046" s="7" t="str">
        <f t="shared" si="90"/>
        <v>女</v>
      </c>
      <c r="F1046" s="7"/>
    </row>
    <row r="1047" spans="1:6" ht="30" customHeight="1">
      <c r="A1047" s="7">
        <v>1045</v>
      </c>
      <c r="B1047" s="7" t="str">
        <f>"34542021112216325552015"</f>
        <v>34542021112216325552015</v>
      </c>
      <c r="C1047" s="7" t="s">
        <v>17</v>
      </c>
      <c r="D1047" s="7" t="str">
        <f>"刘方利"</f>
        <v>刘方利</v>
      </c>
      <c r="E1047" s="7" t="str">
        <f t="shared" si="90"/>
        <v>女</v>
      </c>
      <c r="F1047" s="7"/>
    </row>
    <row r="1048" spans="1:6" ht="30" customHeight="1">
      <c r="A1048" s="7">
        <v>1046</v>
      </c>
      <c r="B1048" s="7" t="str">
        <f>"34542021112216343152016"</f>
        <v>34542021112216343152016</v>
      </c>
      <c r="C1048" s="7" t="s">
        <v>17</v>
      </c>
      <c r="D1048" s="7" t="str">
        <f>"林美桃"</f>
        <v>林美桃</v>
      </c>
      <c r="E1048" s="7" t="str">
        <f t="shared" si="90"/>
        <v>女</v>
      </c>
      <c r="F1048" s="7"/>
    </row>
    <row r="1049" spans="1:6" ht="30" customHeight="1">
      <c r="A1049" s="7">
        <v>1047</v>
      </c>
      <c r="B1049" s="7" t="str">
        <f>"34542021112216394052019"</f>
        <v>34542021112216394052019</v>
      </c>
      <c r="C1049" s="7" t="s">
        <v>17</v>
      </c>
      <c r="D1049" s="7" t="str">
        <f>"郑桃丽"</f>
        <v>郑桃丽</v>
      </c>
      <c r="E1049" s="7" t="str">
        <f t="shared" si="90"/>
        <v>女</v>
      </c>
      <c r="F1049" s="7"/>
    </row>
    <row r="1050" spans="1:6" ht="30" customHeight="1">
      <c r="A1050" s="7">
        <v>1048</v>
      </c>
      <c r="B1050" s="7" t="str">
        <f>"34542021112216395952020"</f>
        <v>34542021112216395952020</v>
      </c>
      <c r="C1050" s="7" t="s">
        <v>17</v>
      </c>
      <c r="D1050" s="7" t="str">
        <f>"谢二丹"</f>
        <v>谢二丹</v>
      </c>
      <c r="E1050" s="7" t="str">
        <f t="shared" si="90"/>
        <v>女</v>
      </c>
      <c r="F1050" s="7"/>
    </row>
    <row r="1051" spans="1:6" ht="30" customHeight="1">
      <c r="A1051" s="7">
        <v>1049</v>
      </c>
      <c r="B1051" s="7" t="str">
        <f>"34542021112216404852021"</f>
        <v>34542021112216404852021</v>
      </c>
      <c r="C1051" s="7" t="s">
        <v>17</v>
      </c>
      <c r="D1051" s="7" t="str">
        <f>"唐才爱"</f>
        <v>唐才爱</v>
      </c>
      <c r="E1051" s="7" t="str">
        <f t="shared" si="90"/>
        <v>女</v>
      </c>
      <c r="F1051" s="7"/>
    </row>
    <row r="1052" spans="1:6" ht="30" customHeight="1">
      <c r="A1052" s="7">
        <v>1050</v>
      </c>
      <c r="B1052" s="7" t="str">
        <f>"34542021112216563952026"</f>
        <v>34542021112216563952026</v>
      </c>
      <c r="C1052" s="7" t="s">
        <v>17</v>
      </c>
      <c r="D1052" s="7" t="str">
        <f>"张英兰"</f>
        <v>张英兰</v>
      </c>
      <c r="E1052" s="7" t="str">
        <f t="shared" si="90"/>
        <v>女</v>
      </c>
      <c r="F1052" s="7"/>
    </row>
    <row r="1053" spans="1:6" ht="30" customHeight="1">
      <c r="A1053" s="7">
        <v>1051</v>
      </c>
      <c r="B1053" s="7" t="str">
        <f>"34542021112216585052027"</f>
        <v>34542021112216585052027</v>
      </c>
      <c r="C1053" s="7" t="s">
        <v>17</v>
      </c>
      <c r="D1053" s="7" t="str">
        <f>"刘春焕"</f>
        <v>刘春焕</v>
      </c>
      <c r="E1053" s="7" t="str">
        <f t="shared" si="90"/>
        <v>女</v>
      </c>
      <c r="F1053" s="7"/>
    </row>
    <row r="1054" spans="1:6" ht="30" customHeight="1">
      <c r="A1054" s="7">
        <v>1052</v>
      </c>
      <c r="B1054" s="7" t="str">
        <f>"34542021112216591552028"</f>
        <v>34542021112216591552028</v>
      </c>
      <c r="C1054" s="7" t="s">
        <v>17</v>
      </c>
      <c r="D1054" s="7" t="str">
        <f>"王月琼"</f>
        <v>王月琼</v>
      </c>
      <c r="E1054" s="7" t="str">
        <f t="shared" si="90"/>
        <v>女</v>
      </c>
      <c r="F1054" s="7"/>
    </row>
    <row r="1055" spans="1:6" ht="30" customHeight="1">
      <c r="A1055" s="7">
        <v>1053</v>
      </c>
      <c r="B1055" s="7" t="str">
        <f>"34542021112216594052029"</f>
        <v>34542021112216594052029</v>
      </c>
      <c r="C1055" s="7" t="s">
        <v>17</v>
      </c>
      <c r="D1055" s="7" t="str">
        <f>"谢多桃"</f>
        <v>谢多桃</v>
      </c>
      <c r="E1055" s="7" t="str">
        <f t="shared" si="90"/>
        <v>女</v>
      </c>
      <c r="F1055" s="7"/>
    </row>
    <row r="1056" spans="1:6" ht="30" customHeight="1">
      <c r="A1056" s="7">
        <v>1054</v>
      </c>
      <c r="B1056" s="7" t="str">
        <f>"34542021112217100852032"</f>
        <v>34542021112217100852032</v>
      </c>
      <c r="C1056" s="7" t="s">
        <v>17</v>
      </c>
      <c r="D1056" s="7" t="str">
        <f>"曾引桂"</f>
        <v>曾引桂</v>
      </c>
      <c r="E1056" s="7" t="str">
        <f t="shared" si="90"/>
        <v>女</v>
      </c>
      <c r="F1056" s="7"/>
    </row>
    <row r="1057" spans="1:6" ht="30" customHeight="1">
      <c r="A1057" s="7">
        <v>1055</v>
      </c>
      <c r="B1057" s="7" t="str">
        <f>"34542021112217115852034"</f>
        <v>34542021112217115852034</v>
      </c>
      <c r="C1057" s="7" t="s">
        <v>17</v>
      </c>
      <c r="D1057" s="7" t="str">
        <f>"梁土爱"</f>
        <v>梁土爱</v>
      </c>
      <c r="E1057" s="7" t="str">
        <f t="shared" si="90"/>
        <v>女</v>
      </c>
      <c r="F1057" s="7"/>
    </row>
    <row r="1058" spans="1:6" ht="30" customHeight="1">
      <c r="A1058" s="7">
        <v>1056</v>
      </c>
      <c r="B1058" s="7" t="str">
        <f>"34542021112217130952036"</f>
        <v>34542021112217130952036</v>
      </c>
      <c r="C1058" s="7" t="s">
        <v>17</v>
      </c>
      <c r="D1058" s="7" t="str">
        <f>"唐带菊"</f>
        <v>唐带菊</v>
      </c>
      <c r="E1058" s="7" t="str">
        <f t="shared" si="90"/>
        <v>女</v>
      </c>
      <c r="F1058" s="7"/>
    </row>
    <row r="1059" spans="1:6" ht="30" customHeight="1">
      <c r="A1059" s="7">
        <v>1057</v>
      </c>
      <c r="B1059" s="7" t="str">
        <f>"34542021112217192552039"</f>
        <v>34542021112217192552039</v>
      </c>
      <c r="C1059" s="7" t="s">
        <v>17</v>
      </c>
      <c r="D1059" s="7" t="str">
        <f>"黎玉红"</f>
        <v>黎玉红</v>
      </c>
      <c r="E1059" s="7" t="str">
        <f t="shared" si="90"/>
        <v>女</v>
      </c>
      <c r="F1059" s="7"/>
    </row>
    <row r="1060" spans="1:6" ht="30" customHeight="1">
      <c r="A1060" s="7">
        <v>1058</v>
      </c>
      <c r="B1060" s="7" t="str">
        <f>"34542021112217210352041"</f>
        <v>34542021112217210352041</v>
      </c>
      <c r="C1060" s="7" t="s">
        <v>17</v>
      </c>
      <c r="D1060" s="7" t="str">
        <f>"魏秀芳"</f>
        <v>魏秀芳</v>
      </c>
      <c r="E1060" s="7" t="str">
        <f t="shared" si="90"/>
        <v>女</v>
      </c>
      <c r="F1060" s="7"/>
    </row>
    <row r="1061" spans="1:6" ht="30" customHeight="1">
      <c r="A1061" s="7">
        <v>1059</v>
      </c>
      <c r="B1061" s="7" t="str">
        <f>"34542021112217213252042"</f>
        <v>34542021112217213252042</v>
      </c>
      <c r="C1061" s="7" t="s">
        <v>17</v>
      </c>
      <c r="D1061" s="7" t="str">
        <f>"符赞交"</f>
        <v>符赞交</v>
      </c>
      <c r="E1061" s="7" t="str">
        <f t="shared" si="90"/>
        <v>女</v>
      </c>
      <c r="F1061" s="7"/>
    </row>
    <row r="1062" spans="1:6" ht="30" customHeight="1">
      <c r="A1062" s="7">
        <v>1060</v>
      </c>
      <c r="B1062" s="7" t="str">
        <f>"34542021112217372052047"</f>
        <v>34542021112217372052047</v>
      </c>
      <c r="C1062" s="7" t="s">
        <v>17</v>
      </c>
      <c r="D1062" s="7" t="str">
        <f>"林诗"</f>
        <v>林诗</v>
      </c>
      <c r="E1062" s="7" t="str">
        <f t="shared" si="90"/>
        <v>女</v>
      </c>
      <c r="F1062" s="7"/>
    </row>
    <row r="1063" spans="1:6" ht="30" customHeight="1">
      <c r="A1063" s="7">
        <v>1061</v>
      </c>
      <c r="B1063" s="7" t="str">
        <f>"34542021112217422152050"</f>
        <v>34542021112217422152050</v>
      </c>
      <c r="C1063" s="7" t="s">
        <v>17</v>
      </c>
      <c r="D1063" s="7" t="str">
        <f>"吴秀女"</f>
        <v>吴秀女</v>
      </c>
      <c r="E1063" s="7" t="str">
        <f t="shared" si="90"/>
        <v>女</v>
      </c>
      <c r="F1063" s="7"/>
    </row>
    <row r="1064" spans="1:6" ht="30" customHeight="1">
      <c r="A1064" s="7">
        <v>1062</v>
      </c>
      <c r="B1064" s="7" t="str">
        <f>"34542021112217515252057"</f>
        <v>34542021112217515252057</v>
      </c>
      <c r="C1064" s="7" t="s">
        <v>17</v>
      </c>
      <c r="D1064" s="7" t="str">
        <f>"袁美凤"</f>
        <v>袁美凤</v>
      </c>
      <c r="E1064" s="7" t="str">
        <f t="shared" si="90"/>
        <v>女</v>
      </c>
      <c r="F1064" s="7"/>
    </row>
    <row r="1065" spans="1:6" ht="30" customHeight="1">
      <c r="A1065" s="7">
        <v>1063</v>
      </c>
      <c r="B1065" s="7" t="str">
        <f>"34542021112217522052058"</f>
        <v>34542021112217522052058</v>
      </c>
      <c r="C1065" s="7" t="s">
        <v>17</v>
      </c>
      <c r="D1065" s="7" t="str">
        <f>"陈劳杰"</f>
        <v>陈劳杰</v>
      </c>
      <c r="E1065" s="7" t="str">
        <f>"男"</f>
        <v>男</v>
      </c>
      <c r="F1065" s="7"/>
    </row>
    <row r="1066" spans="1:6" ht="30" customHeight="1">
      <c r="A1066" s="7">
        <v>1064</v>
      </c>
      <c r="B1066" s="7" t="str">
        <f>"34542021112218015552063"</f>
        <v>34542021112218015552063</v>
      </c>
      <c r="C1066" s="7" t="s">
        <v>17</v>
      </c>
      <c r="D1066" s="7" t="str">
        <f>"陈君丹"</f>
        <v>陈君丹</v>
      </c>
      <c r="E1066" s="7" t="str">
        <f aca="true" t="shared" si="91" ref="E1066:E1129">"女"</f>
        <v>女</v>
      </c>
      <c r="F1066" s="7"/>
    </row>
    <row r="1067" spans="1:6" ht="30" customHeight="1">
      <c r="A1067" s="7">
        <v>1065</v>
      </c>
      <c r="B1067" s="7" t="str">
        <f>"34542021112218281752067"</f>
        <v>34542021112218281752067</v>
      </c>
      <c r="C1067" s="7" t="s">
        <v>17</v>
      </c>
      <c r="D1067" s="7" t="str">
        <f>"廖海霞"</f>
        <v>廖海霞</v>
      </c>
      <c r="E1067" s="7" t="str">
        <f t="shared" si="91"/>
        <v>女</v>
      </c>
      <c r="F1067" s="7"/>
    </row>
    <row r="1068" spans="1:6" ht="30" customHeight="1">
      <c r="A1068" s="7">
        <v>1066</v>
      </c>
      <c r="B1068" s="7" t="str">
        <f>"34542021112218300352068"</f>
        <v>34542021112218300352068</v>
      </c>
      <c r="C1068" s="7" t="s">
        <v>17</v>
      </c>
      <c r="D1068" s="7" t="str">
        <f>"陈惠女"</f>
        <v>陈惠女</v>
      </c>
      <c r="E1068" s="7" t="str">
        <f t="shared" si="91"/>
        <v>女</v>
      </c>
      <c r="F1068" s="7"/>
    </row>
    <row r="1069" spans="1:6" ht="30" customHeight="1">
      <c r="A1069" s="7">
        <v>1067</v>
      </c>
      <c r="B1069" s="7" t="str">
        <f>"34542021112218301752069"</f>
        <v>34542021112218301752069</v>
      </c>
      <c r="C1069" s="7" t="s">
        <v>17</v>
      </c>
      <c r="D1069" s="7" t="str">
        <f>"符颖丹"</f>
        <v>符颖丹</v>
      </c>
      <c r="E1069" s="7" t="str">
        <f t="shared" si="91"/>
        <v>女</v>
      </c>
      <c r="F1069" s="7"/>
    </row>
    <row r="1070" spans="1:6" ht="30" customHeight="1">
      <c r="A1070" s="7">
        <v>1068</v>
      </c>
      <c r="B1070" s="7" t="str">
        <f>"34542021112218372252072"</f>
        <v>34542021112218372252072</v>
      </c>
      <c r="C1070" s="7" t="s">
        <v>17</v>
      </c>
      <c r="D1070" s="7" t="str">
        <f>"王永彬"</f>
        <v>王永彬</v>
      </c>
      <c r="E1070" s="7" t="str">
        <f t="shared" si="91"/>
        <v>女</v>
      </c>
      <c r="F1070" s="7"/>
    </row>
    <row r="1071" spans="1:6" ht="30" customHeight="1">
      <c r="A1071" s="7">
        <v>1069</v>
      </c>
      <c r="B1071" s="7" t="str">
        <f>"34542021112218381052073"</f>
        <v>34542021112218381052073</v>
      </c>
      <c r="C1071" s="7" t="s">
        <v>17</v>
      </c>
      <c r="D1071" s="7" t="str">
        <f>"陈菲"</f>
        <v>陈菲</v>
      </c>
      <c r="E1071" s="7" t="str">
        <f t="shared" si="91"/>
        <v>女</v>
      </c>
      <c r="F1071" s="7"/>
    </row>
    <row r="1072" spans="1:6" ht="30" customHeight="1">
      <c r="A1072" s="7">
        <v>1070</v>
      </c>
      <c r="B1072" s="7" t="str">
        <f>"34542021112218395352074"</f>
        <v>34542021112218395352074</v>
      </c>
      <c r="C1072" s="7" t="s">
        <v>17</v>
      </c>
      <c r="D1072" s="7" t="str">
        <f>"黎芳花"</f>
        <v>黎芳花</v>
      </c>
      <c r="E1072" s="7" t="str">
        <f t="shared" si="91"/>
        <v>女</v>
      </c>
      <c r="F1072" s="7"/>
    </row>
    <row r="1073" spans="1:6" ht="30" customHeight="1">
      <c r="A1073" s="7">
        <v>1071</v>
      </c>
      <c r="B1073" s="7" t="str">
        <f>"34542021112218411752075"</f>
        <v>34542021112218411752075</v>
      </c>
      <c r="C1073" s="7" t="s">
        <v>17</v>
      </c>
      <c r="D1073" s="7" t="str">
        <f>"羊庆姑"</f>
        <v>羊庆姑</v>
      </c>
      <c r="E1073" s="7" t="str">
        <f t="shared" si="91"/>
        <v>女</v>
      </c>
      <c r="F1073" s="7"/>
    </row>
    <row r="1074" spans="1:6" ht="30" customHeight="1">
      <c r="A1074" s="7">
        <v>1072</v>
      </c>
      <c r="B1074" s="7" t="str">
        <f>"34542021112218473852076"</f>
        <v>34542021112218473852076</v>
      </c>
      <c r="C1074" s="7" t="s">
        <v>17</v>
      </c>
      <c r="D1074" s="7" t="str">
        <f>"沈珍美"</f>
        <v>沈珍美</v>
      </c>
      <c r="E1074" s="7" t="str">
        <f t="shared" si="91"/>
        <v>女</v>
      </c>
      <c r="F1074" s="7"/>
    </row>
    <row r="1075" spans="1:6" ht="30" customHeight="1">
      <c r="A1075" s="7">
        <v>1073</v>
      </c>
      <c r="B1075" s="7" t="str">
        <f>"34542021112219302052090"</f>
        <v>34542021112219302052090</v>
      </c>
      <c r="C1075" s="7" t="s">
        <v>17</v>
      </c>
      <c r="D1075" s="7" t="str">
        <f>"薛梅香"</f>
        <v>薛梅香</v>
      </c>
      <c r="E1075" s="7" t="str">
        <f t="shared" si="91"/>
        <v>女</v>
      </c>
      <c r="F1075" s="7"/>
    </row>
    <row r="1076" spans="1:6" ht="30" customHeight="1">
      <c r="A1076" s="7">
        <v>1074</v>
      </c>
      <c r="B1076" s="7" t="str">
        <f>"34542021112219402952092"</f>
        <v>34542021112219402952092</v>
      </c>
      <c r="C1076" s="7" t="s">
        <v>17</v>
      </c>
      <c r="D1076" s="7" t="str">
        <f>"李明妃"</f>
        <v>李明妃</v>
      </c>
      <c r="E1076" s="7" t="str">
        <f t="shared" si="91"/>
        <v>女</v>
      </c>
      <c r="F1076" s="7"/>
    </row>
    <row r="1077" spans="1:6" ht="30" customHeight="1">
      <c r="A1077" s="7">
        <v>1075</v>
      </c>
      <c r="B1077" s="7" t="str">
        <f>"34542021112219485252095"</f>
        <v>34542021112219485252095</v>
      </c>
      <c r="C1077" s="7" t="s">
        <v>17</v>
      </c>
      <c r="D1077" s="7" t="str">
        <f>"刘春婷"</f>
        <v>刘春婷</v>
      </c>
      <c r="E1077" s="7" t="str">
        <f t="shared" si="91"/>
        <v>女</v>
      </c>
      <c r="F1077" s="7"/>
    </row>
    <row r="1078" spans="1:6" ht="30" customHeight="1">
      <c r="A1078" s="7">
        <v>1076</v>
      </c>
      <c r="B1078" s="7" t="str">
        <f>"34542021112219503952096"</f>
        <v>34542021112219503952096</v>
      </c>
      <c r="C1078" s="7" t="s">
        <v>17</v>
      </c>
      <c r="D1078" s="7" t="str">
        <f>"符美宇"</f>
        <v>符美宇</v>
      </c>
      <c r="E1078" s="7" t="str">
        <f t="shared" si="91"/>
        <v>女</v>
      </c>
      <c r="F1078" s="7"/>
    </row>
    <row r="1079" spans="1:6" ht="30" customHeight="1">
      <c r="A1079" s="7">
        <v>1077</v>
      </c>
      <c r="B1079" s="7" t="str">
        <f>"34542021112219584852099"</f>
        <v>34542021112219584852099</v>
      </c>
      <c r="C1079" s="7" t="s">
        <v>17</v>
      </c>
      <c r="D1079" s="7" t="str">
        <f>"郑玉慧"</f>
        <v>郑玉慧</v>
      </c>
      <c r="E1079" s="7" t="str">
        <f t="shared" si="91"/>
        <v>女</v>
      </c>
      <c r="F1079" s="7"/>
    </row>
    <row r="1080" spans="1:6" ht="30" customHeight="1">
      <c r="A1080" s="7">
        <v>1078</v>
      </c>
      <c r="B1080" s="7" t="str">
        <f>"34542021112220054252103"</f>
        <v>34542021112220054252103</v>
      </c>
      <c r="C1080" s="7" t="s">
        <v>17</v>
      </c>
      <c r="D1080" s="7" t="str">
        <f>"梁新交"</f>
        <v>梁新交</v>
      </c>
      <c r="E1080" s="7" t="str">
        <f t="shared" si="91"/>
        <v>女</v>
      </c>
      <c r="F1080" s="7"/>
    </row>
    <row r="1081" spans="1:6" ht="30" customHeight="1">
      <c r="A1081" s="7">
        <v>1079</v>
      </c>
      <c r="B1081" s="7" t="str">
        <f>"34542021112220130952106"</f>
        <v>34542021112220130952106</v>
      </c>
      <c r="C1081" s="7" t="s">
        <v>17</v>
      </c>
      <c r="D1081" s="7" t="str">
        <f>"李英桂"</f>
        <v>李英桂</v>
      </c>
      <c r="E1081" s="7" t="str">
        <f t="shared" si="91"/>
        <v>女</v>
      </c>
      <c r="F1081" s="7"/>
    </row>
    <row r="1082" spans="1:6" ht="30" customHeight="1">
      <c r="A1082" s="7">
        <v>1080</v>
      </c>
      <c r="B1082" s="7" t="str">
        <f>"34542021112220144952107"</f>
        <v>34542021112220144952107</v>
      </c>
      <c r="C1082" s="7" t="s">
        <v>17</v>
      </c>
      <c r="D1082" s="7" t="str">
        <f>"陈曦"</f>
        <v>陈曦</v>
      </c>
      <c r="E1082" s="7" t="str">
        <f t="shared" si="91"/>
        <v>女</v>
      </c>
      <c r="F1082" s="7"/>
    </row>
    <row r="1083" spans="1:6" ht="30" customHeight="1">
      <c r="A1083" s="7">
        <v>1081</v>
      </c>
      <c r="B1083" s="7" t="str">
        <f>"34542021112220230852109"</f>
        <v>34542021112220230852109</v>
      </c>
      <c r="C1083" s="7" t="s">
        <v>17</v>
      </c>
      <c r="D1083" s="7" t="str">
        <f>"李振美"</f>
        <v>李振美</v>
      </c>
      <c r="E1083" s="7" t="str">
        <f t="shared" si="91"/>
        <v>女</v>
      </c>
      <c r="F1083" s="7"/>
    </row>
    <row r="1084" spans="1:6" ht="30" customHeight="1">
      <c r="A1084" s="7">
        <v>1082</v>
      </c>
      <c r="B1084" s="7" t="str">
        <f>"34542021112220282952110"</f>
        <v>34542021112220282952110</v>
      </c>
      <c r="C1084" s="7" t="s">
        <v>17</v>
      </c>
      <c r="D1084" s="7" t="str">
        <f>"李宁英"</f>
        <v>李宁英</v>
      </c>
      <c r="E1084" s="7" t="str">
        <f t="shared" si="91"/>
        <v>女</v>
      </c>
      <c r="F1084" s="7"/>
    </row>
    <row r="1085" spans="1:6" ht="30" customHeight="1">
      <c r="A1085" s="7">
        <v>1083</v>
      </c>
      <c r="B1085" s="7" t="str">
        <f>"34542021112220305252111"</f>
        <v>34542021112220305252111</v>
      </c>
      <c r="C1085" s="7" t="s">
        <v>17</v>
      </c>
      <c r="D1085" s="7" t="str">
        <f>"魏丽香"</f>
        <v>魏丽香</v>
      </c>
      <c r="E1085" s="7" t="str">
        <f t="shared" si="91"/>
        <v>女</v>
      </c>
      <c r="F1085" s="7"/>
    </row>
    <row r="1086" spans="1:6" ht="30" customHeight="1">
      <c r="A1086" s="7">
        <v>1084</v>
      </c>
      <c r="B1086" s="7" t="str">
        <f>"34542021112220400252113"</f>
        <v>34542021112220400252113</v>
      </c>
      <c r="C1086" s="7" t="s">
        <v>17</v>
      </c>
      <c r="D1086" s="7" t="str">
        <f>"陈淑珍"</f>
        <v>陈淑珍</v>
      </c>
      <c r="E1086" s="7" t="str">
        <f t="shared" si="91"/>
        <v>女</v>
      </c>
      <c r="F1086" s="7"/>
    </row>
    <row r="1087" spans="1:6" ht="30" customHeight="1">
      <c r="A1087" s="7">
        <v>1085</v>
      </c>
      <c r="B1087" s="7" t="str">
        <f>"34542021112220535952116"</f>
        <v>34542021112220535952116</v>
      </c>
      <c r="C1087" s="7" t="s">
        <v>17</v>
      </c>
      <c r="D1087" s="7" t="str">
        <f>"周世云"</f>
        <v>周世云</v>
      </c>
      <c r="E1087" s="7" t="str">
        <f t="shared" si="91"/>
        <v>女</v>
      </c>
      <c r="F1087" s="7"/>
    </row>
    <row r="1088" spans="1:6" ht="30" customHeight="1">
      <c r="A1088" s="7">
        <v>1086</v>
      </c>
      <c r="B1088" s="7" t="str">
        <f>"34542021112220553952117"</f>
        <v>34542021112220553952117</v>
      </c>
      <c r="C1088" s="7" t="s">
        <v>17</v>
      </c>
      <c r="D1088" s="7" t="str">
        <f>"梁秋金"</f>
        <v>梁秋金</v>
      </c>
      <c r="E1088" s="7" t="str">
        <f t="shared" si="91"/>
        <v>女</v>
      </c>
      <c r="F1088" s="7"/>
    </row>
    <row r="1089" spans="1:6" ht="30" customHeight="1">
      <c r="A1089" s="7">
        <v>1087</v>
      </c>
      <c r="B1089" s="7" t="str">
        <f>"34542021112221050552122"</f>
        <v>34542021112221050552122</v>
      </c>
      <c r="C1089" s="7" t="s">
        <v>17</v>
      </c>
      <c r="D1089" s="7" t="str">
        <f>"许丽川"</f>
        <v>许丽川</v>
      </c>
      <c r="E1089" s="7" t="str">
        <f t="shared" si="91"/>
        <v>女</v>
      </c>
      <c r="F1089" s="7"/>
    </row>
    <row r="1090" spans="1:6" ht="30" customHeight="1">
      <c r="A1090" s="7">
        <v>1088</v>
      </c>
      <c r="B1090" s="7" t="str">
        <f>"34542021112221164652126"</f>
        <v>34542021112221164652126</v>
      </c>
      <c r="C1090" s="7" t="s">
        <v>17</v>
      </c>
      <c r="D1090" s="7" t="str">
        <f>"徐丽敏"</f>
        <v>徐丽敏</v>
      </c>
      <c r="E1090" s="7" t="str">
        <f t="shared" si="91"/>
        <v>女</v>
      </c>
      <c r="F1090" s="7"/>
    </row>
    <row r="1091" spans="1:6" ht="30" customHeight="1">
      <c r="A1091" s="7">
        <v>1089</v>
      </c>
      <c r="B1091" s="7" t="str">
        <f>"34542021112221203652128"</f>
        <v>34542021112221203652128</v>
      </c>
      <c r="C1091" s="7" t="s">
        <v>17</v>
      </c>
      <c r="D1091" s="7" t="str">
        <f>"曾美荣"</f>
        <v>曾美荣</v>
      </c>
      <c r="E1091" s="7" t="str">
        <f t="shared" si="91"/>
        <v>女</v>
      </c>
      <c r="F1091" s="7"/>
    </row>
    <row r="1092" spans="1:6" ht="30" customHeight="1">
      <c r="A1092" s="7">
        <v>1090</v>
      </c>
      <c r="B1092" s="7" t="str">
        <f>"34542021112221244652130"</f>
        <v>34542021112221244652130</v>
      </c>
      <c r="C1092" s="7" t="s">
        <v>17</v>
      </c>
      <c r="D1092" s="7" t="str">
        <f>"吴芳芳"</f>
        <v>吴芳芳</v>
      </c>
      <c r="E1092" s="7" t="str">
        <f t="shared" si="91"/>
        <v>女</v>
      </c>
      <c r="F1092" s="7"/>
    </row>
    <row r="1093" spans="1:6" ht="30" customHeight="1">
      <c r="A1093" s="7">
        <v>1091</v>
      </c>
      <c r="B1093" s="7" t="str">
        <f>"34542021112221253852132"</f>
        <v>34542021112221253852132</v>
      </c>
      <c r="C1093" s="7" t="s">
        <v>17</v>
      </c>
      <c r="D1093" s="7" t="str">
        <f>"邓金菊"</f>
        <v>邓金菊</v>
      </c>
      <c r="E1093" s="7" t="str">
        <f t="shared" si="91"/>
        <v>女</v>
      </c>
      <c r="F1093" s="7"/>
    </row>
    <row r="1094" spans="1:6" ht="30" customHeight="1">
      <c r="A1094" s="7">
        <v>1092</v>
      </c>
      <c r="B1094" s="7" t="str">
        <f>"34542021112221400052139"</f>
        <v>34542021112221400052139</v>
      </c>
      <c r="C1094" s="7" t="s">
        <v>17</v>
      </c>
      <c r="D1094" s="7" t="str">
        <f>"符荣慧"</f>
        <v>符荣慧</v>
      </c>
      <c r="E1094" s="7" t="str">
        <f t="shared" si="91"/>
        <v>女</v>
      </c>
      <c r="F1094" s="7"/>
    </row>
    <row r="1095" spans="1:6" ht="30" customHeight="1">
      <c r="A1095" s="7">
        <v>1093</v>
      </c>
      <c r="B1095" s="7" t="str">
        <f>"34542021112221420252141"</f>
        <v>34542021112221420252141</v>
      </c>
      <c r="C1095" s="7" t="s">
        <v>17</v>
      </c>
      <c r="D1095" s="7" t="str">
        <f>"钟新丽"</f>
        <v>钟新丽</v>
      </c>
      <c r="E1095" s="7" t="str">
        <f t="shared" si="91"/>
        <v>女</v>
      </c>
      <c r="F1095" s="7"/>
    </row>
    <row r="1096" spans="1:6" ht="30" customHeight="1">
      <c r="A1096" s="7">
        <v>1094</v>
      </c>
      <c r="B1096" s="7" t="str">
        <f>"34542021112221490452145"</f>
        <v>34542021112221490452145</v>
      </c>
      <c r="C1096" s="7" t="s">
        <v>17</v>
      </c>
      <c r="D1096" s="7" t="str">
        <f>"李水香"</f>
        <v>李水香</v>
      </c>
      <c r="E1096" s="7" t="str">
        <f t="shared" si="91"/>
        <v>女</v>
      </c>
      <c r="F1096" s="7"/>
    </row>
    <row r="1097" spans="1:6" ht="30" customHeight="1">
      <c r="A1097" s="7">
        <v>1095</v>
      </c>
      <c r="B1097" s="7" t="str">
        <f>"34542021112221522152146"</f>
        <v>34542021112221522152146</v>
      </c>
      <c r="C1097" s="7" t="s">
        <v>17</v>
      </c>
      <c r="D1097" s="7" t="str">
        <f>"周瑞荣"</f>
        <v>周瑞荣</v>
      </c>
      <c r="E1097" s="7" t="str">
        <f t="shared" si="91"/>
        <v>女</v>
      </c>
      <c r="F1097" s="7"/>
    </row>
    <row r="1098" spans="1:6" ht="30" customHeight="1">
      <c r="A1098" s="7">
        <v>1096</v>
      </c>
      <c r="B1098" s="7" t="str">
        <f>"34542021112222023152151"</f>
        <v>34542021112222023152151</v>
      </c>
      <c r="C1098" s="7" t="s">
        <v>17</v>
      </c>
      <c r="D1098" s="7" t="str">
        <f>"张木英"</f>
        <v>张木英</v>
      </c>
      <c r="E1098" s="7" t="str">
        <f t="shared" si="91"/>
        <v>女</v>
      </c>
      <c r="F1098" s="7"/>
    </row>
    <row r="1099" spans="1:6" ht="30" customHeight="1">
      <c r="A1099" s="7">
        <v>1097</v>
      </c>
      <c r="B1099" s="7" t="str">
        <f>"34542021112222045352152"</f>
        <v>34542021112222045352152</v>
      </c>
      <c r="C1099" s="7" t="s">
        <v>17</v>
      </c>
      <c r="D1099" s="7" t="str">
        <f>"钟琼春"</f>
        <v>钟琼春</v>
      </c>
      <c r="E1099" s="7" t="str">
        <f t="shared" si="91"/>
        <v>女</v>
      </c>
      <c r="F1099" s="7"/>
    </row>
    <row r="1100" spans="1:6" ht="30" customHeight="1">
      <c r="A1100" s="7">
        <v>1098</v>
      </c>
      <c r="B1100" s="7" t="str">
        <f>"34542021112222073552154"</f>
        <v>34542021112222073552154</v>
      </c>
      <c r="C1100" s="7" t="s">
        <v>17</v>
      </c>
      <c r="D1100" s="7" t="str">
        <f>"符庆美"</f>
        <v>符庆美</v>
      </c>
      <c r="E1100" s="7" t="str">
        <f t="shared" si="91"/>
        <v>女</v>
      </c>
      <c r="F1100" s="7"/>
    </row>
    <row r="1101" spans="1:6" ht="30" customHeight="1">
      <c r="A1101" s="7">
        <v>1099</v>
      </c>
      <c r="B1101" s="7" t="str">
        <f>"34542021112222133752157"</f>
        <v>34542021112222133752157</v>
      </c>
      <c r="C1101" s="7" t="s">
        <v>17</v>
      </c>
      <c r="D1101" s="7" t="str">
        <f>"邢诒妹"</f>
        <v>邢诒妹</v>
      </c>
      <c r="E1101" s="7" t="str">
        <f t="shared" si="91"/>
        <v>女</v>
      </c>
      <c r="F1101" s="7"/>
    </row>
    <row r="1102" spans="1:6" ht="30" customHeight="1">
      <c r="A1102" s="7">
        <v>1100</v>
      </c>
      <c r="B1102" s="7" t="str">
        <f>"34542021112222215552161"</f>
        <v>34542021112222215552161</v>
      </c>
      <c r="C1102" s="7" t="s">
        <v>17</v>
      </c>
      <c r="D1102" s="7" t="str">
        <f>"郑庆翠"</f>
        <v>郑庆翠</v>
      </c>
      <c r="E1102" s="7" t="str">
        <f t="shared" si="91"/>
        <v>女</v>
      </c>
      <c r="F1102" s="7"/>
    </row>
    <row r="1103" spans="1:6" ht="30" customHeight="1">
      <c r="A1103" s="7">
        <v>1101</v>
      </c>
      <c r="B1103" s="7" t="str">
        <f>"34542021112222233552163"</f>
        <v>34542021112222233552163</v>
      </c>
      <c r="C1103" s="7" t="s">
        <v>17</v>
      </c>
      <c r="D1103" s="7" t="str">
        <f>"周川微"</f>
        <v>周川微</v>
      </c>
      <c r="E1103" s="7" t="str">
        <f t="shared" si="91"/>
        <v>女</v>
      </c>
      <c r="F1103" s="7"/>
    </row>
    <row r="1104" spans="1:6" ht="30" customHeight="1">
      <c r="A1104" s="7">
        <v>1102</v>
      </c>
      <c r="B1104" s="7" t="str">
        <f>"34542021112222261652165"</f>
        <v>34542021112222261652165</v>
      </c>
      <c r="C1104" s="7" t="s">
        <v>17</v>
      </c>
      <c r="D1104" s="7" t="str">
        <f>"赵衍祝"</f>
        <v>赵衍祝</v>
      </c>
      <c r="E1104" s="7" t="str">
        <f t="shared" si="91"/>
        <v>女</v>
      </c>
      <c r="F1104" s="7"/>
    </row>
    <row r="1105" spans="1:6" ht="30" customHeight="1">
      <c r="A1105" s="7">
        <v>1103</v>
      </c>
      <c r="B1105" s="7" t="str">
        <f>"34542021112222433652167"</f>
        <v>34542021112222433652167</v>
      </c>
      <c r="C1105" s="7" t="s">
        <v>17</v>
      </c>
      <c r="D1105" s="7" t="str">
        <f>"廖淑芳"</f>
        <v>廖淑芳</v>
      </c>
      <c r="E1105" s="7" t="str">
        <f t="shared" si="91"/>
        <v>女</v>
      </c>
      <c r="F1105" s="7"/>
    </row>
    <row r="1106" spans="1:6" ht="30" customHeight="1">
      <c r="A1106" s="7">
        <v>1104</v>
      </c>
      <c r="B1106" s="7" t="str">
        <f>"34542021112300022652182"</f>
        <v>34542021112300022652182</v>
      </c>
      <c r="C1106" s="7" t="s">
        <v>17</v>
      </c>
      <c r="D1106" s="7" t="str">
        <f>"黎景芳"</f>
        <v>黎景芳</v>
      </c>
      <c r="E1106" s="7" t="str">
        <f t="shared" si="91"/>
        <v>女</v>
      </c>
      <c r="F1106" s="7"/>
    </row>
    <row r="1107" spans="1:6" ht="30" customHeight="1">
      <c r="A1107" s="7">
        <v>1105</v>
      </c>
      <c r="B1107" s="7" t="str">
        <f>"34542021112300115452183"</f>
        <v>34542021112300115452183</v>
      </c>
      <c r="C1107" s="7" t="s">
        <v>17</v>
      </c>
      <c r="D1107" s="7" t="str">
        <f>"符菊女"</f>
        <v>符菊女</v>
      </c>
      <c r="E1107" s="7" t="str">
        <f t="shared" si="91"/>
        <v>女</v>
      </c>
      <c r="F1107" s="7"/>
    </row>
    <row r="1108" spans="1:6" ht="30" customHeight="1">
      <c r="A1108" s="7">
        <v>1106</v>
      </c>
      <c r="B1108" s="7" t="str">
        <f>"34542021112300544952187"</f>
        <v>34542021112300544952187</v>
      </c>
      <c r="C1108" s="7" t="s">
        <v>17</v>
      </c>
      <c r="D1108" s="7" t="str">
        <f>"胡义妍"</f>
        <v>胡义妍</v>
      </c>
      <c r="E1108" s="7" t="str">
        <f t="shared" si="91"/>
        <v>女</v>
      </c>
      <c r="F1108" s="7"/>
    </row>
    <row r="1109" spans="1:6" ht="30" customHeight="1">
      <c r="A1109" s="7">
        <v>1107</v>
      </c>
      <c r="B1109" s="7" t="str">
        <f>"34542021112308265752193"</f>
        <v>34542021112308265752193</v>
      </c>
      <c r="C1109" s="7" t="s">
        <v>17</v>
      </c>
      <c r="D1109" s="7" t="str">
        <f>"唐学妹"</f>
        <v>唐学妹</v>
      </c>
      <c r="E1109" s="7" t="str">
        <f t="shared" si="91"/>
        <v>女</v>
      </c>
      <c r="F1109" s="7"/>
    </row>
    <row r="1110" spans="1:6" ht="30" customHeight="1">
      <c r="A1110" s="7">
        <v>1108</v>
      </c>
      <c r="B1110" s="7" t="str">
        <f>"34542021112308304052194"</f>
        <v>34542021112308304052194</v>
      </c>
      <c r="C1110" s="7" t="s">
        <v>17</v>
      </c>
      <c r="D1110" s="7" t="str">
        <f>"余玉美"</f>
        <v>余玉美</v>
      </c>
      <c r="E1110" s="7" t="str">
        <f t="shared" si="91"/>
        <v>女</v>
      </c>
      <c r="F1110" s="7"/>
    </row>
    <row r="1111" spans="1:6" ht="30" customHeight="1">
      <c r="A1111" s="7">
        <v>1109</v>
      </c>
      <c r="B1111" s="7" t="str">
        <f>"34542021112308354052195"</f>
        <v>34542021112308354052195</v>
      </c>
      <c r="C1111" s="7" t="s">
        <v>17</v>
      </c>
      <c r="D1111" s="7" t="str">
        <f>"林新鸾"</f>
        <v>林新鸾</v>
      </c>
      <c r="E1111" s="7" t="str">
        <f t="shared" si="91"/>
        <v>女</v>
      </c>
      <c r="F1111" s="7"/>
    </row>
    <row r="1112" spans="1:6" ht="30" customHeight="1">
      <c r="A1112" s="7">
        <v>1110</v>
      </c>
      <c r="B1112" s="7" t="str">
        <f>"34542021112308473152197"</f>
        <v>34542021112308473152197</v>
      </c>
      <c r="C1112" s="7" t="s">
        <v>17</v>
      </c>
      <c r="D1112" s="7" t="str">
        <f>"符瑛娜"</f>
        <v>符瑛娜</v>
      </c>
      <c r="E1112" s="7" t="str">
        <f t="shared" si="91"/>
        <v>女</v>
      </c>
      <c r="F1112" s="7"/>
    </row>
    <row r="1113" spans="1:6" ht="30" customHeight="1">
      <c r="A1113" s="7">
        <v>1111</v>
      </c>
      <c r="B1113" s="7" t="str">
        <f>"34542021112309005452202"</f>
        <v>34542021112309005452202</v>
      </c>
      <c r="C1113" s="7" t="s">
        <v>17</v>
      </c>
      <c r="D1113" s="7" t="str">
        <f>"符淑善"</f>
        <v>符淑善</v>
      </c>
      <c r="E1113" s="7" t="str">
        <f t="shared" si="91"/>
        <v>女</v>
      </c>
      <c r="F1113" s="7"/>
    </row>
    <row r="1114" spans="1:6" ht="30" customHeight="1">
      <c r="A1114" s="7">
        <v>1112</v>
      </c>
      <c r="B1114" s="7" t="str">
        <f>"34542021112309082852205"</f>
        <v>34542021112309082852205</v>
      </c>
      <c r="C1114" s="7" t="s">
        <v>17</v>
      </c>
      <c r="D1114" s="7" t="str">
        <f>"林诒香"</f>
        <v>林诒香</v>
      </c>
      <c r="E1114" s="7" t="str">
        <f t="shared" si="91"/>
        <v>女</v>
      </c>
      <c r="F1114" s="7"/>
    </row>
    <row r="1115" spans="1:6" ht="30" customHeight="1">
      <c r="A1115" s="7">
        <v>1113</v>
      </c>
      <c r="B1115" s="7" t="str">
        <f>"34542021112309403352216"</f>
        <v>34542021112309403352216</v>
      </c>
      <c r="C1115" s="7" t="s">
        <v>17</v>
      </c>
      <c r="D1115" s="7" t="str">
        <f>"陈秀燕"</f>
        <v>陈秀燕</v>
      </c>
      <c r="E1115" s="7" t="str">
        <f t="shared" si="91"/>
        <v>女</v>
      </c>
      <c r="F1115" s="7"/>
    </row>
    <row r="1116" spans="1:6" ht="30" customHeight="1">
      <c r="A1116" s="7">
        <v>1114</v>
      </c>
      <c r="B1116" s="7" t="str">
        <f>"34542021112310030052225"</f>
        <v>34542021112310030052225</v>
      </c>
      <c r="C1116" s="7" t="s">
        <v>17</v>
      </c>
      <c r="D1116" s="7" t="str">
        <f>"杨寿娜"</f>
        <v>杨寿娜</v>
      </c>
      <c r="E1116" s="7" t="str">
        <f t="shared" si="91"/>
        <v>女</v>
      </c>
      <c r="F1116" s="7"/>
    </row>
    <row r="1117" spans="1:6" ht="30" customHeight="1">
      <c r="A1117" s="7">
        <v>1115</v>
      </c>
      <c r="B1117" s="7" t="str">
        <f>"34542021112310034252226"</f>
        <v>34542021112310034252226</v>
      </c>
      <c r="C1117" s="7" t="s">
        <v>17</v>
      </c>
      <c r="D1117" s="7" t="str">
        <f>"林玉兰"</f>
        <v>林玉兰</v>
      </c>
      <c r="E1117" s="7" t="str">
        <f t="shared" si="91"/>
        <v>女</v>
      </c>
      <c r="F1117" s="7"/>
    </row>
    <row r="1118" spans="1:6" ht="30" customHeight="1">
      <c r="A1118" s="7">
        <v>1116</v>
      </c>
      <c r="B1118" s="7" t="str">
        <f>"34542021112310200852234"</f>
        <v>34542021112310200852234</v>
      </c>
      <c r="C1118" s="7" t="s">
        <v>17</v>
      </c>
      <c r="D1118" s="7" t="str">
        <f>"谢丽妃"</f>
        <v>谢丽妃</v>
      </c>
      <c r="E1118" s="7" t="str">
        <f t="shared" si="91"/>
        <v>女</v>
      </c>
      <c r="F1118" s="7"/>
    </row>
    <row r="1119" spans="1:6" ht="30" customHeight="1">
      <c r="A1119" s="7">
        <v>1117</v>
      </c>
      <c r="B1119" s="7" t="str">
        <f>"34542021112310284652236"</f>
        <v>34542021112310284652236</v>
      </c>
      <c r="C1119" s="7" t="s">
        <v>17</v>
      </c>
      <c r="D1119" s="7" t="str">
        <f>"童池圆"</f>
        <v>童池圆</v>
      </c>
      <c r="E1119" s="7" t="str">
        <f t="shared" si="91"/>
        <v>女</v>
      </c>
      <c r="F1119" s="7"/>
    </row>
    <row r="1120" spans="1:6" ht="30" customHeight="1">
      <c r="A1120" s="7">
        <v>1118</v>
      </c>
      <c r="B1120" s="7" t="str">
        <f>"34542021112310350852238"</f>
        <v>34542021112310350852238</v>
      </c>
      <c r="C1120" s="7" t="s">
        <v>17</v>
      </c>
      <c r="D1120" s="7" t="str">
        <f>"何益秋"</f>
        <v>何益秋</v>
      </c>
      <c r="E1120" s="7" t="str">
        <f t="shared" si="91"/>
        <v>女</v>
      </c>
      <c r="F1120" s="7"/>
    </row>
    <row r="1121" spans="1:6" ht="30" customHeight="1">
      <c r="A1121" s="7">
        <v>1119</v>
      </c>
      <c r="B1121" s="7" t="str">
        <f>"34542021112310352452239"</f>
        <v>34542021112310352452239</v>
      </c>
      <c r="C1121" s="7" t="s">
        <v>17</v>
      </c>
      <c r="D1121" s="7" t="str">
        <f>"兰婕妤"</f>
        <v>兰婕妤</v>
      </c>
      <c r="E1121" s="7" t="str">
        <f t="shared" si="91"/>
        <v>女</v>
      </c>
      <c r="F1121" s="7"/>
    </row>
    <row r="1122" spans="1:6" ht="30" customHeight="1">
      <c r="A1122" s="7">
        <v>1120</v>
      </c>
      <c r="B1122" s="7" t="str">
        <f>"34542021112310371052241"</f>
        <v>34542021112310371052241</v>
      </c>
      <c r="C1122" s="7" t="s">
        <v>17</v>
      </c>
      <c r="D1122" s="7" t="str">
        <f>"陈木丹"</f>
        <v>陈木丹</v>
      </c>
      <c r="E1122" s="7" t="str">
        <f t="shared" si="91"/>
        <v>女</v>
      </c>
      <c r="F1122" s="7"/>
    </row>
    <row r="1123" spans="1:6" ht="30" customHeight="1">
      <c r="A1123" s="7">
        <v>1121</v>
      </c>
      <c r="B1123" s="7" t="str">
        <f>"34542021112310465552246"</f>
        <v>34542021112310465552246</v>
      </c>
      <c r="C1123" s="7" t="s">
        <v>17</v>
      </c>
      <c r="D1123" s="7" t="str">
        <f>"王秀蓉"</f>
        <v>王秀蓉</v>
      </c>
      <c r="E1123" s="7" t="str">
        <f t="shared" si="91"/>
        <v>女</v>
      </c>
      <c r="F1123" s="7"/>
    </row>
    <row r="1124" spans="1:6" ht="30" customHeight="1">
      <c r="A1124" s="7">
        <v>1122</v>
      </c>
      <c r="B1124" s="7" t="str">
        <f>"34542021112310490752247"</f>
        <v>34542021112310490752247</v>
      </c>
      <c r="C1124" s="7" t="s">
        <v>17</v>
      </c>
      <c r="D1124" s="7" t="str">
        <f>"刘壮修"</f>
        <v>刘壮修</v>
      </c>
      <c r="E1124" s="7" t="str">
        <f t="shared" si="91"/>
        <v>女</v>
      </c>
      <c r="F1124" s="7"/>
    </row>
    <row r="1125" spans="1:6" ht="30" customHeight="1">
      <c r="A1125" s="7">
        <v>1123</v>
      </c>
      <c r="B1125" s="7" t="str">
        <f>"34542021112311213952258"</f>
        <v>34542021112311213952258</v>
      </c>
      <c r="C1125" s="7" t="s">
        <v>17</v>
      </c>
      <c r="D1125" s="7" t="str">
        <f>"赵永妹"</f>
        <v>赵永妹</v>
      </c>
      <c r="E1125" s="7" t="str">
        <f t="shared" si="91"/>
        <v>女</v>
      </c>
      <c r="F1125" s="7"/>
    </row>
    <row r="1126" spans="1:6" ht="30" customHeight="1">
      <c r="A1126" s="7">
        <v>1124</v>
      </c>
      <c r="B1126" s="7" t="str">
        <f>"34542021112311262752260"</f>
        <v>34542021112311262752260</v>
      </c>
      <c r="C1126" s="7" t="s">
        <v>17</v>
      </c>
      <c r="D1126" s="7" t="str">
        <f>"苏五女"</f>
        <v>苏五女</v>
      </c>
      <c r="E1126" s="7" t="str">
        <f t="shared" si="91"/>
        <v>女</v>
      </c>
      <c r="F1126" s="7"/>
    </row>
    <row r="1127" spans="1:6" ht="30" customHeight="1">
      <c r="A1127" s="7">
        <v>1125</v>
      </c>
      <c r="B1127" s="7" t="str">
        <f>"34542021112311265652262"</f>
        <v>34542021112311265652262</v>
      </c>
      <c r="C1127" s="7" t="s">
        <v>17</v>
      </c>
      <c r="D1127" s="7" t="str">
        <f>"羊美姬"</f>
        <v>羊美姬</v>
      </c>
      <c r="E1127" s="7" t="str">
        <f t="shared" si="91"/>
        <v>女</v>
      </c>
      <c r="F1127" s="7"/>
    </row>
    <row r="1128" spans="1:6" ht="30" customHeight="1">
      <c r="A1128" s="7">
        <v>1126</v>
      </c>
      <c r="B1128" s="7" t="str">
        <f>"34542021112311283052264"</f>
        <v>34542021112311283052264</v>
      </c>
      <c r="C1128" s="7" t="s">
        <v>17</v>
      </c>
      <c r="D1128" s="7" t="str">
        <f>"吴金丽"</f>
        <v>吴金丽</v>
      </c>
      <c r="E1128" s="7" t="str">
        <f t="shared" si="91"/>
        <v>女</v>
      </c>
      <c r="F1128" s="7"/>
    </row>
    <row r="1129" spans="1:6" ht="30" customHeight="1">
      <c r="A1129" s="7">
        <v>1127</v>
      </c>
      <c r="B1129" s="7" t="str">
        <f>"34542021112311293852266"</f>
        <v>34542021112311293852266</v>
      </c>
      <c r="C1129" s="7" t="s">
        <v>17</v>
      </c>
      <c r="D1129" s="7" t="str">
        <f>"郭富教"</f>
        <v>郭富教</v>
      </c>
      <c r="E1129" s="7" t="str">
        <f t="shared" si="91"/>
        <v>女</v>
      </c>
      <c r="F1129" s="7"/>
    </row>
    <row r="1130" spans="1:6" ht="30" customHeight="1">
      <c r="A1130" s="7">
        <v>1128</v>
      </c>
      <c r="B1130" s="7" t="str">
        <f>"34542021112311314852267"</f>
        <v>34542021112311314852267</v>
      </c>
      <c r="C1130" s="7" t="s">
        <v>17</v>
      </c>
      <c r="D1130" s="7" t="str">
        <f>"吴广梅"</f>
        <v>吴广梅</v>
      </c>
      <c r="E1130" s="7" t="str">
        <f aca="true" t="shared" si="92" ref="E1130:E1193">"女"</f>
        <v>女</v>
      </c>
      <c r="F1130" s="7"/>
    </row>
    <row r="1131" spans="1:6" ht="30" customHeight="1">
      <c r="A1131" s="7">
        <v>1129</v>
      </c>
      <c r="B1131" s="7" t="str">
        <f>"34542021112311354352269"</f>
        <v>34542021112311354352269</v>
      </c>
      <c r="C1131" s="7" t="s">
        <v>17</v>
      </c>
      <c r="D1131" s="7" t="str">
        <f>"张淑珍"</f>
        <v>张淑珍</v>
      </c>
      <c r="E1131" s="7" t="str">
        <f t="shared" si="92"/>
        <v>女</v>
      </c>
      <c r="F1131" s="7"/>
    </row>
    <row r="1132" spans="1:6" ht="30" customHeight="1">
      <c r="A1132" s="7">
        <v>1130</v>
      </c>
      <c r="B1132" s="7" t="str">
        <f>"34542021112311370552270"</f>
        <v>34542021112311370552270</v>
      </c>
      <c r="C1132" s="7" t="s">
        <v>17</v>
      </c>
      <c r="D1132" s="7" t="str">
        <f>"陈日爱"</f>
        <v>陈日爱</v>
      </c>
      <c r="E1132" s="7" t="str">
        <f t="shared" si="92"/>
        <v>女</v>
      </c>
      <c r="F1132" s="7"/>
    </row>
    <row r="1133" spans="1:6" ht="30" customHeight="1">
      <c r="A1133" s="7">
        <v>1131</v>
      </c>
      <c r="B1133" s="7" t="str">
        <f>"34542021112311592952277"</f>
        <v>34542021112311592952277</v>
      </c>
      <c r="C1133" s="7" t="s">
        <v>17</v>
      </c>
      <c r="D1133" s="7" t="str">
        <f>"陈凌燕"</f>
        <v>陈凌燕</v>
      </c>
      <c r="E1133" s="7" t="str">
        <f t="shared" si="92"/>
        <v>女</v>
      </c>
      <c r="F1133" s="7"/>
    </row>
    <row r="1134" spans="1:6" ht="30" customHeight="1">
      <c r="A1134" s="7">
        <v>1132</v>
      </c>
      <c r="B1134" s="7" t="str">
        <f>"34542021112312003852279"</f>
        <v>34542021112312003852279</v>
      </c>
      <c r="C1134" s="7" t="s">
        <v>17</v>
      </c>
      <c r="D1134" s="7" t="str">
        <f>"陈丽英"</f>
        <v>陈丽英</v>
      </c>
      <c r="E1134" s="7" t="str">
        <f t="shared" si="92"/>
        <v>女</v>
      </c>
      <c r="F1134" s="7"/>
    </row>
    <row r="1135" spans="1:6" ht="30" customHeight="1">
      <c r="A1135" s="7">
        <v>1133</v>
      </c>
      <c r="B1135" s="7" t="str">
        <f>"34542021112312044952281"</f>
        <v>34542021112312044952281</v>
      </c>
      <c r="C1135" s="7" t="s">
        <v>17</v>
      </c>
      <c r="D1135" s="7" t="str">
        <f>"王美爱"</f>
        <v>王美爱</v>
      </c>
      <c r="E1135" s="7" t="str">
        <f t="shared" si="92"/>
        <v>女</v>
      </c>
      <c r="F1135" s="7"/>
    </row>
    <row r="1136" spans="1:6" ht="30" customHeight="1">
      <c r="A1136" s="7">
        <v>1134</v>
      </c>
      <c r="B1136" s="7" t="str">
        <f>"34542021112312160452283"</f>
        <v>34542021112312160452283</v>
      </c>
      <c r="C1136" s="7" t="s">
        <v>17</v>
      </c>
      <c r="D1136" s="7" t="str">
        <f>"李梓祺"</f>
        <v>李梓祺</v>
      </c>
      <c r="E1136" s="7" t="str">
        <f t="shared" si="92"/>
        <v>女</v>
      </c>
      <c r="F1136" s="7"/>
    </row>
    <row r="1137" spans="1:6" ht="30" customHeight="1">
      <c r="A1137" s="7">
        <v>1135</v>
      </c>
      <c r="B1137" s="7" t="str">
        <f>"34542021112312405152292"</f>
        <v>34542021112312405152292</v>
      </c>
      <c r="C1137" s="7" t="s">
        <v>17</v>
      </c>
      <c r="D1137" s="7" t="str">
        <f>"陈恒美"</f>
        <v>陈恒美</v>
      </c>
      <c r="E1137" s="7" t="str">
        <f t="shared" si="92"/>
        <v>女</v>
      </c>
      <c r="F1137" s="7"/>
    </row>
    <row r="1138" spans="1:6" ht="30" customHeight="1">
      <c r="A1138" s="7">
        <v>1136</v>
      </c>
      <c r="B1138" s="7" t="str">
        <f>"34542021112312473552294"</f>
        <v>34542021112312473552294</v>
      </c>
      <c r="C1138" s="7" t="s">
        <v>17</v>
      </c>
      <c r="D1138" s="7" t="str">
        <f>"郑万菊"</f>
        <v>郑万菊</v>
      </c>
      <c r="E1138" s="7" t="str">
        <f t="shared" si="92"/>
        <v>女</v>
      </c>
      <c r="F1138" s="7"/>
    </row>
    <row r="1139" spans="1:6" ht="30" customHeight="1">
      <c r="A1139" s="7">
        <v>1137</v>
      </c>
      <c r="B1139" s="7" t="str">
        <f>"34542021112313142352306"</f>
        <v>34542021112313142352306</v>
      </c>
      <c r="C1139" s="7" t="s">
        <v>17</v>
      </c>
      <c r="D1139" s="7" t="str">
        <f>"符冬秋"</f>
        <v>符冬秋</v>
      </c>
      <c r="E1139" s="7" t="str">
        <f t="shared" si="92"/>
        <v>女</v>
      </c>
      <c r="F1139" s="7"/>
    </row>
    <row r="1140" spans="1:6" ht="30" customHeight="1">
      <c r="A1140" s="7">
        <v>1138</v>
      </c>
      <c r="B1140" s="7" t="str">
        <f>"34542021112313241752311"</f>
        <v>34542021112313241752311</v>
      </c>
      <c r="C1140" s="7" t="s">
        <v>17</v>
      </c>
      <c r="D1140" s="7" t="str">
        <f>"李美柳"</f>
        <v>李美柳</v>
      </c>
      <c r="E1140" s="7" t="str">
        <f t="shared" si="92"/>
        <v>女</v>
      </c>
      <c r="F1140" s="7"/>
    </row>
    <row r="1141" spans="1:6" ht="30" customHeight="1">
      <c r="A1141" s="7">
        <v>1139</v>
      </c>
      <c r="B1141" s="7" t="str">
        <f>"34542021112313255052312"</f>
        <v>34542021112313255052312</v>
      </c>
      <c r="C1141" s="7" t="s">
        <v>17</v>
      </c>
      <c r="D1141" s="7" t="str">
        <f>"李海娟"</f>
        <v>李海娟</v>
      </c>
      <c r="E1141" s="7" t="str">
        <f t="shared" si="92"/>
        <v>女</v>
      </c>
      <c r="F1141" s="7"/>
    </row>
    <row r="1142" spans="1:6" ht="30" customHeight="1">
      <c r="A1142" s="7">
        <v>1140</v>
      </c>
      <c r="B1142" s="7" t="str">
        <f>"34542021112313323652314"</f>
        <v>34542021112313323652314</v>
      </c>
      <c r="C1142" s="7" t="s">
        <v>17</v>
      </c>
      <c r="D1142" s="7" t="str">
        <f>"符霞妹"</f>
        <v>符霞妹</v>
      </c>
      <c r="E1142" s="7" t="str">
        <f t="shared" si="92"/>
        <v>女</v>
      </c>
      <c r="F1142" s="7"/>
    </row>
    <row r="1143" spans="1:6" ht="30" customHeight="1">
      <c r="A1143" s="7">
        <v>1141</v>
      </c>
      <c r="B1143" s="7" t="str">
        <f>"34542021112313423352316"</f>
        <v>34542021112313423352316</v>
      </c>
      <c r="C1143" s="7" t="s">
        <v>17</v>
      </c>
      <c r="D1143" s="7" t="str">
        <f>"朱定菊"</f>
        <v>朱定菊</v>
      </c>
      <c r="E1143" s="7" t="str">
        <f t="shared" si="92"/>
        <v>女</v>
      </c>
      <c r="F1143" s="7"/>
    </row>
    <row r="1144" spans="1:6" ht="30" customHeight="1">
      <c r="A1144" s="7">
        <v>1142</v>
      </c>
      <c r="B1144" s="7" t="str">
        <f>"34542021112313583852319"</f>
        <v>34542021112313583852319</v>
      </c>
      <c r="C1144" s="7" t="s">
        <v>17</v>
      </c>
      <c r="D1144" s="7" t="str">
        <f>"吴冬菊"</f>
        <v>吴冬菊</v>
      </c>
      <c r="E1144" s="7" t="str">
        <f t="shared" si="92"/>
        <v>女</v>
      </c>
      <c r="F1144" s="7"/>
    </row>
    <row r="1145" spans="1:6" ht="30" customHeight="1">
      <c r="A1145" s="7">
        <v>1143</v>
      </c>
      <c r="B1145" s="7" t="str">
        <f>"34542021112314334952323"</f>
        <v>34542021112314334952323</v>
      </c>
      <c r="C1145" s="7" t="s">
        <v>17</v>
      </c>
      <c r="D1145" s="7" t="str">
        <f>"羊艳梅"</f>
        <v>羊艳梅</v>
      </c>
      <c r="E1145" s="7" t="str">
        <f t="shared" si="92"/>
        <v>女</v>
      </c>
      <c r="F1145" s="7"/>
    </row>
    <row r="1146" spans="1:6" ht="30" customHeight="1">
      <c r="A1146" s="7">
        <v>1144</v>
      </c>
      <c r="B1146" s="7" t="str">
        <f>"34542021112315041252332"</f>
        <v>34542021112315041252332</v>
      </c>
      <c r="C1146" s="7" t="s">
        <v>17</v>
      </c>
      <c r="D1146" s="7" t="str">
        <f>"羊晓芬"</f>
        <v>羊晓芬</v>
      </c>
      <c r="E1146" s="7" t="str">
        <f t="shared" si="92"/>
        <v>女</v>
      </c>
      <c r="F1146" s="7"/>
    </row>
    <row r="1147" spans="1:6" ht="30" customHeight="1">
      <c r="A1147" s="7">
        <v>1145</v>
      </c>
      <c r="B1147" s="7" t="str">
        <f>"34542021112315070152335"</f>
        <v>34542021112315070152335</v>
      </c>
      <c r="C1147" s="7" t="s">
        <v>17</v>
      </c>
      <c r="D1147" s="7" t="str">
        <f>"符秋兰"</f>
        <v>符秋兰</v>
      </c>
      <c r="E1147" s="7" t="str">
        <f t="shared" si="92"/>
        <v>女</v>
      </c>
      <c r="F1147" s="7"/>
    </row>
    <row r="1148" spans="1:6" ht="30" customHeight="1">
      <c r="A1148" s="7">
        <v>1146</v>
      </c>
      <c r="B1148" s="7" t="str">
        <f>"34542021112315112752339"</f>
        <v>34542021112315112752339</v>
      </c>
      <c r="C1148" s="7" t="s">
        <v>17</v>
      </c>
      <c r="D1148" s="7" t="str">
        <f>"何丽君"</f>
        <v>何丽君</v>
      </c>
      <c r="E1148" s="7" t="str">
        <f t="shared" si="92"/>
        <v>女</v>
      </c>
      <c r="F1148" s="7"/>
    </row>
    <row r="1149" spans="1:6" ht="30" customHeight="1">
      <c r="A1149" s="7">
        <v>1147</v>
      </c>
      <c r="B1149" s="7" t="str">
        <f>"34542021112315250052345"</f>
        <v>34542021112315250052345</v>
      </c>
      <c r="C1149" s="7" t="s">
        <v>17</v>
      </c>
      <c r="D1149" s="7" t="str">
        <f>"王井英"</f>
        <v>王井英</v>
      </c>
      <c r="E1149" s="7" t="str">
        <f t="shared" si="92"/>
        <v>女</v>
      </c>
      <c r="F1149" s="7"/>
    </row>
    <row r="1150" spans="1:6" ht="30" customHeight="1">
      <c r="A1150" s="7">
        <v>1148</v>
      </c>
      <c r="B1150" s="7" t="str">
        <f>"34542021112315304252347"</f>
        <v>34542021112315304252347</v>
      </c>
      <c r="C1150" s="7" t="s">
        <v>17</v>
      </c>
      <c r="D1150" s="7" t="str">
        <f>"郑静妃"</f>
        <v>郑静妃</v>
      </c>
      <c r="E1150" s="7" t="str">
        <f t="shared" si="92"/>
        <v>女</v>
      </c>
      <c r="F1150" s="7"/>
    </row>
    <row r="1151" spans="1:6" ht="30" customHeight="1">
      <c r="A1151" s="7">
        <v>1149</v>
      </c>
      <c r="B1151" s="7" t="str">
        <f>"34542021112315341352351"</f>
        <v>34542021112315341352351</v>
      </c>
      <c r="C1151" s="7" t="s">
        <v>17</v>
      </c>
      <c r="D1151" s="7" t="str">
        <f>"孙小萍"</f>
        <v>孙小萍</v>
      </c>
      <c r="E1151" s="7" t="str">
        <f t="shared" si="92"/>
        <v>女</v>
      </c>
      <c r="F1151" s="7"/>
    </row>
    <row r="1152" spans="1:6" ht="30" customHeight="1">
      <c r="A1152" s="7">
        <v>1150</v>
      </c>
      <c r="B1152" s="7" t="str">
        <f>"34542021112315462752354"</f>
        <v>34542021112315462752354</v>
      </c>
      <c r="C1152" s="7" t="s">
        <v>17</v>
      </c>
      <c r="D1152" s="7" t="str">
        <f>"梁芳芳"</f>
        <v>梁芳芳</v>
      </c>
      <c r="E1152" s="7" t="str">
        <f t="shared" si="92"/>
        <v>女</v>
      </c>
      <c r="F1152" s="7"/>
    </row>
    <row r="1153" spans="1:6" ht="30" customHeight="1">
      <c r="A1153" s="7">
        <v>1151</v>
      </c>
      <c r="B1153" s="7" t="str">
        <f>"34542021112315540452357"</f>
        <v>34542021112315540452357</v>
      </c>
      <c r="C1153" s="7" t="s">
        <v>17</v>
      </c>
      <c r="D1153" s="7" t="str">
        <f>"羊彩丽"</f>
        <v>羊彩丽</v>
      </c>
      <c r="E1153" s="7" t="str">
        <f t="shared" si="92"/>
        <v>女</v>
      </c>
      <c r="F1153" s="7"/>
    </row>
    <row r="1154" spans="1:6" ht="30" customHeight="1">
      <c r="A1154" s="7">
        <v>1152</v>
      </c>
      <c r="B1154" s="7" t="str">
        <f>"34542021112315572052360"</f>
        <v>34542021112315572052360</v>
      </c>
      <c r="C1154" s="7" t="s">
        <v>17</v>
      </c>
      <c r="D1154" s="7" t="str">
        <f>"曾为玲"</f>
        <v>曾为玲</v>
      </c>
      <c r="E1154" s="7" t="str">
        <f t="shared" si="92"/>
        <v>女</v>
      </c>
      <c r="F1154" s="7"/>
    </row>
    <row r="1155" spans="1:6" ht="30" customHeight="1">
      <c r="A1155" s="7">
        <v>1153</v>
      </c>
      <c r="B1155" s="7" t="str">
        <f>"34542021112316060052367"</f>
        <v>34542021112316060052367</v>
      </c>
      <c r="C1155" s="7" t="s">
        <v>17</v>
      </c>
      <c r="D1155" s="7" t="str">
        <f>"李建霞"</f>
        <v>李建霞</v>
      </c>
      <c r="E1155" s="7" t="str">
        <f t="shared" si="92"/>
        <v>女</v>
      </c>
      <c r="F1155" s="7"/>
    </row>
    <row r="1156" spans="1:6" ht="30" customHeight="1">
      <c r="A1156" s="7">
        <v>1154</v>
      </c>
      <c r="B1156" s="7" t="str">
        <f>"34542021112316130052372"</f>
        <v>34542021112316130052372</v>
      </c>
      <c r="C1156" s="7" t="s">
        <v>17</v>
      </c>
      <c r="D1156" s="7" t="str">
        <f>"李金花"</f>
        <v>李金花</v>
      </c>
      <c r="E1156" s="7" t="str">
        <f t="shared" si="92"/>
        <v>女</v>
      </c>
      <c r="F1156" s="7"/>
    </row>
    <row r="1157" spans="1:6" ht="30" customHeight="1">
      <c r="A1157" s="7">
        <v>1155</v>
      </c>
      <c r="B1157" s="7" t="str">
        <f>"34542021112316363852380"</f>
        <v>34542021112316363852380</v>
      </c>
      <c r="C1157" s="7" t="s">
        <v>17</v>
      </c>
      <c r="D1157" s="7" t="str">
        <f>"唐彩颖"</f>
        <v>唐彩颖</v>
      </c>
      <c r="E1157" s="7" t="str">
        <f t="shared" si="92"/>
        <v>女</v>
      </c>
      <c r="F1157" s="7"/>
    </row>
    <row r="1158" spans="1:6" ht="30" customHeight="1">
      <c r="A1158" s="7">
        <v>1156</v>
      </c>
      <c r="B1158" s="7" t="str">
        <f>"34542021112316364652381"</f>
        <v>34542021112316364652381</v>
      </c>
      <c r="C1158" s="7" t="s">
        <v>17</v>
      </c>
      <c r="D1158" s="7" t="str">
        <f>"符传凤"</f>
        <v>符传凤</v>
      </c>
      <c r="E1158" s="7" t="str">
        <f t="shared" si="92"/>
        <v>女</v>
      </c>
      <c r="F1158" s="7"/>
    </row>
    <row r="1159" spans="1:6" ht="30" customHeight="1">
      <c r="A1159" s="7">
        <v>1157</v>
      </c>
      <c r="B1159" s="7" t="str">
        <f>"34542021112316422052383"</f>
        <v>34542021112316422052383</v>
      </c>
      <c r="C1159" s="7" t="s">
        <v>17</v>
      </c>
      <c r="D1159" s="7" t="str">
        <f>"谢壮姜"</f>
        <v>谢壮姜</v>
      </c>
      <c r="E1159" s="7" t="str">
        <f t="shared" si="92"/>
        <v>女</v>
      </c>
      <c r="F1159" s="7"/>
    </row>
    <row r="1160" spans="1:6" ht="30" customHeight="1">
      <c r="A1160" s="7">
        <v>1158</v>
      </c>
      <c r="B1160" s="7" t="str">
        <f>"34542021112316562052391"</f>
        <v>34542021112316562052391</v>
      </c>
      <c r="C1160" s="7" t="s">
        <v>17</v>
      </c>
      <c r="D1160" s="7" t="str">
        <f>"唐剑妃"</f>
        <v>唐剑妃</v>
      </c>
      <c r="E1160" s="7" t="str">
        <f t="shared" si="92"/>
        <v>女</v>
      </c>
      <c r="F1160" s="7"/>
    </row>
    <row r="1161" spans="1:6" ht="30" customHeight="1">
      <c r="A1161" s="7">
        <v>1159</v>
      </c>
      <c r="B1161" s="7" t="str">
        <f>"34542021112317132752399"</f>
        <v>34542021112317132752399</v>
      </c>
      <c r="C1161" s="7" t="s">
        <v>17</v>
      </c>
      <c r="D1161" s="7" t="str">
        <f>"何芳"</f>
        <v>何芳</v>
      </c>
      <c r="E1161" s="7" t="str">
        <f t="shared" si="92"/>
        <v>女</v>
      </c>
      <c r="F1161" s="7"/>
    </row>
    <row r="1162" spans="1:6" ht="30" customHeight="1">
      <c r="A1162" s="7">
        <v>1160</v>
      </c>
      <c r="B1162" s="7" t="str">
        <f>"34542021112317173752400"</f>
        <v>34542021112317173752400</v>
      </c>
      <c r="C1162" s="7" t="s">
        <v>17</v>
      </c>
      <c r="D1162" s="7" t="str">
        <f>"吴小妹"</f>
        <v>吴小妹</v>
      </c>
      <c r="E1162" s="7" t="str">
        <f t="shared" si="92"/>
        <v>女</v>
      </c>
      <c r="F1162" s="7"/>
    </row>
    <row r="1163" spans="1:6" ht="30" customHeight="1">
      <c r="A1163" s="7">
        <v>1161</v>
      </c>
      <c r="B1163" s="7" t="str">
        <f>"34542021112317281452404"</f>
        <v>34542021112317281452404</v>
      </c>
      <c r="C1163" s="7" t="s">
        <v>17</v>
      </c>
      <c r="D1163" s="7" t="str">
        <f>"苏秋红"</f>
        <v>苏秋红</v>
      </c>
      <c r="E1163" s="7" t="str">
        <f t="shared" si="92"/>
        <v>女</v>
      </c>
      <c r="F1163" s="7"/>
    </row>
    <row r="1164" spans="1:6" ht="30" customHeight="1">
      <c r="A1164" s="7">
        <v>1162</v>
      </c>
      <c r="B1164" s="7" t="str">
        <f>"34542021112317312852405"</f>
        <v>34542021112317312852405</v>
      </c>
      <c r="C1164" s="7" t="s">
        <v>17</v>
      </c>
      <c r="D1164" s="7" t="str">
        <f>"陈万莲"</f>
        <v>陈万莲</v>
      </c>
      <c r="E1164" s="7" t="str">
        <f t="shared" si="92"/>
        <v>女</v>
      </c>
      <c r="F1164" s="7"/>
    </row>
    <row r="1165" spans="1:6" ht="30" customHeight="1">
      <c r="A1165" s="7">
        <v>1163</v>
      </c>
      <c r="B1165" s="7" t="str">
        <f>"34542021112317313352406"</f>
        <v>34542021112317313352406</v>
      </c>
      <c r="C1165" s="7" t="s">
        <v>17</v>
      </c>
      <c r="D1165" s="7" t="str">
        <f>"郑彩珍"</f>
        <v>郑彩珍</v>
      </c>
      <c r="E1165" s="7" t="str">
        <f t="shared" si="92"/>
        <v>女</v>
      </c>
      <c r="F1165" s="7"/>
    </row>
    <row r="1166" spans="1:6" ht="30" customHeight="1">
      <c r="A1166" s="7">
        <v>1164</v>
      </c>
      <c r="B1166" s="7" t="str">
        <f>"34542021112317355552408"</f>
        <v>34542021112317355552408</v>
      </c>
      <c r="C1166" s="7" t="s">
        <v>17</v>
      </c>
      <c r="D1166" s="7" t="str">
        <f>"吴小波"</f>
        <v>吴小波</v>
      </c>
      <c r="E1166" s="7" t="str">
        <f t="shared" si="92"/>
        <v>女</v>
      </c>
      <c r="F1166" s="7"/>
    </row>
    <row r="1167" spans="1:6" ht="30" customHeight="1">
      <c r="A1167" s="7">
        <v>1165</v>
      </c>
      <c r="B1167" s="7" t="str">
        <f>"34542021112317365852409"</f>
        <v>34542021112317365852409</v>
      </c>
      <c r="C1167" s="7" t="s">
        <v>17</v>
      </c>
      <c r="D1167" s="7" t="str">
        <f>"羊长媛"</f>
        <v>羊长媛</v>
      </c>
      <c r="E1167" s="7" t="str">
        <f t="shared" si="92"/>
        <v>女</v>
      </c>
      <c r="F1167" s="7"/>
    </row>
    <row r="1168" spans="1:6" ht="30" customHeight="1">
      <c r="A1168" s="7">
        <v>1166</v>
      </c>
      <c r="B1168" s="7" t="str">
        <f>"34542021112317464752413"</f>
        <v>34542021112317464752413</v>
      </c>
      <c r="C1168" s="7" t="s">
        <v>17</v>
      </c>
      <c r="D1168" s="7" t="str">
        <f>"陈文灵"</f>
        <v>陈文灵</v>
      </c>
      <c r="E1168" s="7" t="str">
        <f t="shared" si="92"/>
        <v>女</v>
      </c>
      <c r="F1168" s="7"/>
    </row>
    <row r="1169" spans="1:6" ht="30" customHeight="1">
      <c r="A1169" s="7">
        <v>1167</v>
      </c>
      <c r="B1169" s="7" t="str">
        <f>"34542021112317495752416"</f>
        <v>34542021112317495752416</v>
      </c>
      <c r="C1169" s="7" t="s">
        <v>17</v>
      </c>
      <c r="D1169" s="7" t="str">
        <f>"万芳妮"</f>
        <v>万芳妮</v>
      </c>
      <c r="E1169" s="7" t="str">
        <f t="shared" si="92"/>
        <v>女</v>
      </c>
      <c r="F1169" s="7"/>
    </row>
    <row r="1170" spans="1:6" ht="30" customHeight="1">
      <c r="A1170" s="7">
        <v>1168</v>
      </c>
      <c r="B1170" s="7" t="str">
        <f>"34542021112318045752419"</f>
        <v>34542021112318045752419</v>
      </c>
      <c r="C1170" s="7" t="s">
        <v>17</v>
      </c>
      <c r="D1170" s="7" t="str">
        <f>"李园"</f>
        <v>李园</v>
      </c>
      <c r="E1170" s="7" t="str">
        <f t="shared" si="92"/>
        <v>女</v>
      </c>
      <c r="F1170" s="7"/>
    </row>
    <row r="1171" spans="1:6" ht="30" customHeight="1">
      <c r="A1171" s="7">
        <v>1169</v>
      </c>
      <c r="B1171" s="7" t="str">
        <f>"34542021112318283652426"</f>
        <v>34542021112318283652426</v>
      </c>
      <c r="C1171" s="7" t="s">
        <v>17</v>
      </c>
      <c r="D1171" s="7" t="str">
        <f>"陈梅丽"</f>
        <v>陈梅丽</v>
      </c>
      <c r="E1171" s="7" t="str">
        <f t="shared" si="92"/>
        <v>女</v>
      </c>
      <c r="F1171" s="7"/>
    </row>
    <row r="1172" spans="1:6" ht="30" customHeight="1">
      <c r="A1172" s="7">
        <v>1170</v>
      </c>
      <c r="B1172" s="7" t="str">
        <f>"34542021112318372852430"</f>
        <v>34542021112318372852430</v>
      </c>
      <c r="C1172" s="7" t="s">
        <v>17</v>
      </c>
      <c r="D1172" s="7" t="str">
        <f>"陈秋敏"</f>
        <v>陈秋敏</v>
      </c>
      <c r="E1172" s="7" t="str">
        <f t="shared" si="92"/>
        <v>女</v>
      </c>
      <c r="F1172" s="7"/>
    </row>
    <row r="1173" spans="1:6" ht="30" customHeight="1">
      <c r="A1173" s="7">
        <v>1171</v>
      </c>
      <c r="B1173" s="7" t="str">
        <f>"34542021112318415752431"</f>
        <v>34542021112318415752431</v>
      </c>
      <c r="C1173" s="7" t="s">
        <v>17</v>
      </c>
      <c r="D1173" s="7" t="str">
        <f>"冯品玲"</f>
        <v>冯品玲</v>
      </c>
      <c r="E1173" s="7" t="str">
        <f t="shared" si="92"/>
        <v>女</v>
      </c>
      <c r="F1173" s="7"/>
    </row>
    <row r="1174" spans="1:6" ht="30" customHeight="1">
      <c r="A1174" s="7">
        <v>1172</v>
      </c>
      <c r="B1174" s="7" t="str">
        <f>"34542021112318423752432"</f>
        <v>34542021112318423752432</v>
      </c>
      <c r="C1174" s="7" t="s">
        <v>17</v>
      </c>
      <c r="D1174" s="7" t="str">
        <f>"蔡玉妹"</f>
        <v>蔡玉妹</v>
      </c>
      <c r="E1174" s="7" t="str">
        <f t="shared" si="92"/>
        <v>女</v>
      </c>
      <c r="F1174" s="7"/>
    </row>
    <row r="1175" spans="1:6" ht="30" customHeight="1">
      <c r="A1175" s="7">
        <v>1173</v>
      </c>
      <c r="B1175" s="7" t="str">
        <f>"34542021112318495052435"</f>
        <v>34542021112318495052435</v>
      </c>
      <c r="C1175" s="7" t="s">
        <v>17</v>
      </c>
      <c r="D1175" s="7" t="str">
        <f>"薛秀凤"</f>
        <v>薛秀凤</v>
      </c>
      <c r="E1175" s="7" t="str">
        <f t="shared" si="92"/>
        <v>女</v>
      </c>
      <c r="F1175" s="7"/>
    </row>
    <row r="1176" spans="1:6" ht="30" customHeight="1">
      <c r="A1176" s="7">
        <v>1174</v>
      </c>
      <c r="B1176" s="7" t="str">
        <f>"34542021112318525752436"</f>
        <v>34542021112318525752436</v>
      </c>
      <c r="C1176" s="7" t="s">
        <v>17</v>
      </c>
      <c r="D1176" s="7" t="str">
        <f>"羊花梅"</f>
        <v>羊花梅</v>
      </c>
      <c r="E1176" s="7" t="str">
        <f t="shared" si="92"/>
        <v>女</v>
      </c>
      <c r="F1176" s="7"/>
    </row>
    <row r="1177" spans="1:6" ht="30" customHeight="1">
      <c r="A1177" s="7">
        <v>1175</v>
      </c>
      <c r="B1177" s="7" t="str">
        <f>"34542021112318534552437"</f>
        <v>34542021112318534552437</v>
      </c>
      <c r="C1177" s="7" t="s">
        <v>17</v>
      </c>
      <c r="D1177" s="7" t="str">
        <f>"李丽萍"</f>
        <v>李丽萍</v>
      </c>
      <c r="E1177" s="7" t="str">
        <f t="shared" si="92"/>
        <v>女</v>
      </c>
      <c r="F1177" s="7"/>
    </row>
    <row r="1178" spans="1:6" ht="30" customHeight="1">
      <c r="A1178" s="7">
        <v>1176</v>
      </c>
      <c r="B1178" s="7" t="str">
        <f>"34542021112318542752438"</f>
        <v>34542021112318542752438</v>
      </c>
      <c r="C1178" s="7" t="s">
        <v>17</v>
      </c>
      <c r="D1178" s="7" t="str">
        <f>"李永娟"</f>
        <v>李永娟</v>
      </c>
      <c r="E1178" s="7" t="str">
        <f t="shared" si="92"/>
        <v>女</v>
      </c>
      <c r="F1178" s="7"/>
    </row>
    <row r="1179" spans="1:6" ht="30" customHeight="1">
      <c r="A1179" s="7">
        <v>1177</v>
      </c>
      <c r="B1179" s="7" t="str">
        <f>"34542021112319044952440"</f>
        <v>34542021112319044952440</v>
      </c>
      <c r="C1179" s="7" t="s">
        <v>17</v>
      </c>
      <c r="D1179" s="7" t="str">
        <f>"李妹美"</f>
        <v>李妹美</v>
      </c>
      <c r="E1179" s="7" t="str">
        <f t="shared" si="92"/>
        <v>女</v>
      </c>
      <c r="F1179" s="7"/>
    </row>
    <row r="1180" spans="1:6" ht="30" customHeight="1">
      <c r="A1180" s="7">
        <v>1178</v>
      </c>
      <c r="B1180" s="7" t="str">
        <f>"34542021112319045752441"</f>
        <v>34542021112319045752441</v>
      </c>
      <c r="C1180" s="7" t="s">
        <v>17</v>
      </c>
      <c r="D1180" s="7" t="str">
        <f>"符圣代"</f>
        <v>符圣代</v>
      </c>
      <c r="E1180" s="7" t="str">
        <f t="shared" si="92"/>
        <v>女</v>
      </c>
      <c r="F1180" s="7"/>
    </row>
    <row r="1181" spans="1:6" ht="30" customHeight="1">
      <c r="A1181" s="7">
        <v>1179</v>
      </c>
      <c r="B1181" s="7" t="str">
        <f>"34542021112319082552444"</f>
        <v>34542021112319082552444</v>
      </c>
      <c r="C1181" s="7" t="s">
        <v>17</v>
      </c>
      <c r="D1181" s="7" t="str">
        <f>"吴小灵"</f>
        <v>吴小灵</v>
      </c>
      <c r="E1181" s="7" t="str">
        <f t="shared" si="92"/>
        <v>女</v>
      </c>
      <c r="F1181" s="7"/>
    </row>
    <row r="1182" spans="1:6" ht="30" customHeight="1">
      <c r="A1182" s="7">
        <v>1180</v>
      </c>
      <c r="B1182" s="7" t="str">
        <f>"34542021112319190052446"</f>
        <v>34542021112319190052446</v>
      </c>
      <c r="C1182" s="7" t="s">
        <v>17</v>
      </c>
      <c r="D1182" s="7" t="str">
        <f>"唐觉丽"</f>
        <v>唐觉丽</v>
      </c>
      <c r="E1182" s="7" t="str">
        <f t="shared" si="92"/>
        <v>女</v>
      </c>
      <c r="F1182" s="7"/>
    </row>
    <row r="1183" spans="1:6" ht="30" customHeight="1">
      <c r="A1183" s="7">
        <v>1181</v>
      </c>
      <c r="B1183" s="7" t="str">
        <f>"34542021112319363452450"</f>
        <v>34542021112319363452450</v>
      </c>
      <c r="C1183" s="7" t="s">
        <v>17</v>
      </c>
      <c r="D1183" s="7" t="str">
        <f>"吴才连"</f>
        <v>吴才连</v>
      </c>
      <c r="E1183" s="7" t="str">
        <f t="shared" si="92"/>
        <v>女</v>
      </c>
      <c r="F1183" s="7"/>
    </row>
    <row r="1184" spans="1:6" ht="30" customHeight="1">
      <c r="A1184" s="7">
        <v>1182</v>
      </c>
      <c r="B1184" s="7" t="str">
        <f>"34542021112319373652451"</f>
        <v>34542021112319373652451</v>
      </c>
      <c r="C1184" s="7" t="s">
        <v>17</v>
      </c>
      <c r="D1184" s="7" t="str">
        <f>"朱贤桂"</f>
        <v>朱贤桂</v>
      </c>
      <c r="E1184" s="7" t="str">
        <f t="shared" si="92"/>
        <v>女</v>
      </c>
      <c r="F1184" s="7"/>
    </row>
    <row r="1185" spans="1:6" ht="30" customHeight="1">
      <c r="A1185" s="7">
        <v>1183</v>
      </c>
      <c r="B1185" s="7" t="str">
        <f>"34542021112319403952452"</f>
        <v>34542021112319403952452</v>
      </c>
      <c r="C1185" s="7" t="s">
        <v>17</v>
      </c>
      <c r="D1185" s="7" t="str">
        <f>"吴桃女"</f>
        <v>吴桃女</v>
      </c>
      <c r="E1185" s="7" t="str">
        <f t="shared" si="92"/>
        <v>女</v>
      </c>
      <c r="F1185" s="7"/>
    </row>
    <row r="1186" spans="1:6" ht="30" customHeight="1">
      <c r="A1186" s="7">
        <v>1184</v>
      </c>
      <c r="B1186" s="7" t="str">
        <f>"34542021112319430552454"</f>
        <v>34542021112319430552454</v>
      </c>
      <c r="C1186" s="7" t="s">
        <v>17</v>
      </c>
      <c r="D1186" s="7" t="str">
        <f>"符美风"</f>
        <v>符美风</v>
      </c>
      <c r="E1186" s="7" t="str">
        <f t="shared" si="92"/>
        <v>女</v>
      </c>
      <c r="F1186" s="7"/>
    </row>
    <row r="1187" spans="1:6" ht="30" customHeight="1">
      <c r="A1187" s="7">
        <v>1185</v>
      </c>
      <c r="B1187" s="7" t="str">
        <f>"34542021112319483252455"</f>
        <v>34542021112319483252455</v>
      </c>
      <c r="C1187" s="7" t="s">
        <v>17</v>
      </c>
      <c r="D1187" s="7" t="str">
        <f>"李选坤"</f>
        <v>李选坤</v>
      </c>
      <c r="E1187" s="7" t="str">
        <f t="shared" si="92"/>
        <v>女</v>
      </c>
      <c r="F1187" s="7"/>
    </row>
    <row r="1188" spans="1:6" ht="30" customHeight="1">
      <c r="A1188" s="7">
        <v>1186</v>
      </c>
      <c r="B1188" s="7" t="str">
        <f>"34542021112320002152462"</f>
        <v>34542021112320002152462</v>
      </c>
      <c r="C1188" s="7" t="s">
        <v>17</v>
      </c>
      <c r="D1188" s="7" t="str">
        <f>"张翠萍"</f>
        <v>张翠萍</v>
      </c>
      <c r="E1188" s="7" t="str">
        <f t="shared" si="92"/>
        <v>女</v>
      </c>
      <c r="F1188" s="7"/>
    </row>
    <row r="1189" spans="1:6" ht="30" customHeight="1">
      <c r="A1189" s="7">
        <v>1187</v>
      </c>
      <c r="B1189" s="7" t="str">
        <f>"34542021112320244452468"</f>
        <v>34542021112320244452468</v>
      </c>
      <c r="C1189" s="7" t="s">
        <v>17</v>
      </c>
      <c r="D1189" s="7" t="str">
        <f>"郑喜玲"</f>
        <v>郑喜玲</v>
      </c>
      <c r="E1189" s="7" t="str">
        <f t="shared" si="92"/>
        <v>女</v>
      </c>
      <c r="F1189" s="7"/>
    </row>
    <row r="1190" spans="1:6" ht="30" customHeight="1">
      <c r="A1190" s="7">
        <v>1188</v>
      </c>
      <c r="B1190" s="7" t="str">
        <f>"34542021112320340052474"</f>
        <v>34542021112320340052474</v>
      </c>
      <c r="C1190" s="7" t="s">
        <v>17</v>
      </c>
      <c r="D1190" s="7" t="str">
        <f>"吴联红"</f>
        <v>吴联红</v>
      </c>
      <c r="E1190" s="7" t="str">
        <f t="shared" si="92"/>
        <v>女</v>
      </c>
      <c r="F1190" s="7"/>
    </row>
    <row r="1191" spans="1:6" ht="30" customHeight="1">
      <c r="A1191" s="7">
        <v>1189</v>
      </c>
      <c r="B1191" s="7" t="str">
        <f>"34542021112320423452479"</f>
        <v>34542021112320423452479</v>
      </c>
      <c r="C1191" s="7" t="s">
        <v>17</v>
      </c>
      <c r="D1191" s="7" t="str">
        <f>"杨端莹"</f>
        <v>杨端莹</v>
      </c>
      <c r="E1191" s="7" t="str">
        <f t="shared" si="92"/>
        <v>女</v>
      </c>
      <c r="F1191" s="7"/>
    </row>
    <row r="1192" spans="1:6" ht="30" customHeight="1">
      <c r="A1192" s="7">
        <v>1190</v>
      </c>
      <c r="B1192" s="7" t="str">
        <f>"34542021112320460452482"</f>
        <v>34542021112320460452482</v>
      </c>
      <c r="C1192" s="7" t="s">
        <v>17</v>
      </c>
      <c r="D1192" s="7" t="str">
        <f>"邱芳琳"</f>
        <v>邱芳琳</v>
      </c>
      <c r="E1192" s="7" t="str">
        <f t="shared" si="92"/>
        <v>女</v>
      </c>
      <c r="F1192" s="7"/>
    </row>
    <row r="1193" spans="1:6" ht="30" customHeight="1">
      <c r="A1193" s="7">
        <v>1191</v>
      </c>
      <c r="B1193" s="7" t="str">
        <f>"34542021112320561652484"</f>
        <v>34542021112320561652484</v>
      </c>
      <c r="C1193" s="7" t="s">
        <v>17</v>
      </c>
      <c r="D1193" s="7" t="str">
        <f>"何丽廷"</f>
        <v>何丽廷</v>
      </c>
      <c r="E1193" s="7" t="str">
        <f t="shared" si="92"/>
        <v>女</v>
      </c>
      <c r="F1193" s="7"/>
    </row>
    <row r="1194" spans="1:6" ht="30" customHeight="1">
      <c r="A1194" s="7">
        <v>1192</v>
      </c>
      <c r="B1194" s="7" t="str">
        <f>"34542021112320581452485"</f>
        <v>34542021112320581452485</v>
      </c>
      <c r="C1194" s="7" t="s">
        <v>17</v>
      </c>
      <c r="D1194" s="7" t="str">
        <f>"符美满"</f>
        <v>符美满</v>
      </c>
      <c r="E1194" s="7" t="str">
        <f aca="true" t="shared" si="93" ref="E1194:E1239">"女"</f>
        <v>女</v>
      </c>
      <c r="F1194" s="7"/>
    </row>
    <row r="1195" spans="1:6" ht="30" customHeight="1">
      <c r="A1195" s="7">
        <v>1193</v>
      </c>
      <c r="B1195" s="7" t="str">
        <f>"34542021112321050252487"</f>
        <v>34542021112321050252487</v>
      </c>
      <c r="C1195" s="7" t="s">
        <v>17</v>
      </c>
      <c r="D1195" s="7" t="str">
        <f>"陈婆花"</f>
        <v>陈婆花</v>
      </c>
      <c r="E1195" s="7" t="str">
        <f t="shared" si="93"/>
        <v>女</v>
      </c>
      <c r="F1195" s="7"/>
    </row>
    <row r="1196" spans="1:6" ht="30" customHeight="1">
      <c r="A1196" s="7">
        <v>1194</v>
      </c>
      <c r="B1196" s="7" t="str">
        <f>"34542021112321075952489"</f>
        <v>34542021112321075952489</v>
      </c>
      <c r="C1196" s="7" t="s">
        <v>17</v>
      </c>
      <c r="D1196" s="7" t="str">
        <f>"刘嘉嘉"</f>
        <v>刘嘉嘉</v>
      </c>
      <c r="E1196" s="7" t="str">
        <f t="shared" si="93"/>
        <v>女</v>
      </c>
      <c r="F1196" s="7"/>
    </row>
    <row r="1197" spans="1:6" ht="30" customHeight="1">
      <c r="A1197" s="7">
        <v>1195</v>
      </c>
      <c r="B1197" s="7" t="str">
        <f>"34542021112321324652499"</f>
        <v>34542021112321324652499</v>
      </c>
      <c r="C1197" s="7" t="s">
        <v>17</v>
      </c>
      <c r="D1197" s="7" t="str">
        <f>"陈井兰"</f>
        <v>陈井兰</v>
      </c>
      <c r="E1197" s="7" t="str">
        <f t="shared" si="93"/>
        <v>女</v>
      </c>
      <c r="F1197" s="7"/>
    </row>
    <row r="1198" spans="1:6" ht="30" customHeight="1">
      <c r="A1198" s="7">
        <v>1196</v>
      </c>
      <c r="B1198" s="7" t="str">
        <f>"34542021112321345552501"</f>
        <v>34542021112321345552501</v>
      </c>
      <c r="C1198" s="7" t="s">
        <v>17</v>
      </c>
      <c r="D1198" s="7" t="str">
        <f>"梁石丹"</f>
        <v>梁石丹</v>
      </c>
      <c r="E1198" s="7" t="str">
        <f t="shared" si="93"/>
        <v>女</v>
      </c>
      <c r="F1198" s="7"/>
    </row>
    <row r="1199" spans="1:6" ht="30" customHeight="1">
      <c r="A1199" s="7">
        <v>1197</v>
      </c>
      <c r="B1199" s="7" t="str">
        <f>"34542021112322063752505"</f>
        <v>34542021112322063752505</v>
      </c>
      <c r="C1199" s="7" t="s">
        <v>17</v>
      </c>
      <c r="D1199" s="7" t="str">
        <f>"王明玉"</f>
        <v>王明玉</v>
      </c>
      <c r="E1199" s="7" t="str">
        <f t="shared" si="93"/>
        <v>女</v>
      </c>
      <c r="F1199" s="7"/>
    </row>
    <row r="1200" spans="1:6" ht="30" customHeight="1">
      <c r="A1200" s="7">
        <v>1198</v>
      </c>
      <c r="B1200" s="7" t="str">
        <f>"34542021112322095552506"</f>
        <v>34542021112322095552506</v>
      </c>
      <c r="C1200" s="7" t="s">
        <v>17</v>
      </c>
      <c r="D1200" s="7" t="str">
        <f>"李定秀"</f>
        <v>李定秀</v>
      </c>
      <c r="E1200" s="7" t="str">
        <f t="shared" si="93"/>
        <v>女</v>
      </c>
      <c r="F1200" s="7"/>
    </row>
    <row r="1201" spans="1:6" ht="30" customHeight="1">
      <c r="A1201" s="7">
        <v>1199</v>
      </c>
      <c r="B1201" s="7" t="str">
        <f>"34542021112322111652508"</f>
        <v>34542021112322111652508</v>
      </c>
      <c r="C1201" s="7" t="s">
        <v>17</v>
      </c>
      <c r="D1201" s="7" t="str">
        <f>"李小娜"</f>
        <v>李小娜</v>
      </c>
      <c r="E1201" s="7" t="str">
        <f t="shared" si="93"/>
        <v>女</v>
      </c>
      <c r="F1201" s="7"/>
    </row>
    <row r="1202" spans="1:6" ht="30" customHeight="1">
      <c r="A1202" s="7">
        <v>1200</v>
      </c>
      <c r="B1202" s="7" t="str">
        <f>"34542021112322151652510"</f>
        <v>34542021112322151652510</v>
      </c>
      <c r="C1202" s="7" t="s">
        <v>17</v>
      </c>
      <c r="D1202" s="7" t="str">
        <f>"羊桂丹"</f>
        <v>羊桂丹</v>
      </c>
      <c r="E1202" s="7" t="str">
        <f t="shared" si="93"/>
        <v>女</v>
      </c>
      <c r="F1202" s="7"/>
    </row>
    <row r="1203" spans="1:6" ht="30" customHeight="1">
      <c r="A1203" s="7">
        <v>1201</v>
      </c>
      <c r="B1203" s="7" t="str">
        <f>"34542021112322240052513"</f>
        <v>34542021112322240052513</v>
      </c>
      <c r="C1203" s="7" t="s">
        <v>17</v>
      </c>
      <c r="D1203" s="7" t="str">
        <f>"包仁妹"</f>
        <v>包仁妹</v>
      </c>
      <c r="E1203" s="7" t="str">
        <f t="shared" si="93"/>
        <v>女</v>
      </c>
      <c r="F1203" s="7"/>
    </row>
    <row r="1204" spans="1:6" ht="30" customHeight="1">
      <c r="A1204" s="7">
        <v>1202</v>
      </c>
      <c r="B1204" s="7" t="str">
        <f>"34542021112322340052515"</f>
        <v>34542021112322340052515</v>
      </c>
      <c r="C1204" s="7" t="s">
        <v>17</v>
      </c>
      <c r="D1204" s="7" t="str">
        <f>"李雪妃"</f>
        <v>李雪妃</v>
      </c>
      <c r="E1204" s="7" t="str">
        <f t="shared" si="93"/>
        <v>女</v>
      </c>
      <c r="F1204" s="7"/>
    </row>
    <row r="1205" spans="1:6" ht="30" customHeight="1">
      <c r="A1205" s="7">
        <v>1203</v>
      </c>
      <c r="B1205" s="7" t="str">
        <f>"34542021112323031052525"</f>
        <v>34542021112323031052525</v>
      </c>
      <c r="C1205" s="7" t="s">
        <v>17</v>
      </c>
      <c r="D1205" s="7" t="str">
        <f>"孙彩焕"</f>
        <v>孙彩焕</v>
      </c>
      <c r="E1205" s="7" t="str">
        <f t="shared" si="93"/>
        <v>女</v>
      </c>
      <c r="F1205" s="7"/>
    </row>
    <row r="1206" spans="1:6" ht="30" customHeight="1">
      <c r="A1206" s="7">
        <v>1204</v>
      </c>
      <c r="B1206" s="7" t="str">
        <f>"34542021112323414452527"</f>
        <v>34542021112323414452527</v>
      </c>
      <c r="C1206" s="7" t="s">
        <v>17</v>
      </c>
      <c r="D1206" s="7" t="str">
        <f>"高春枣"</f>
        <v>高春枣</v>
      </c>
      <c r="E1206" s="7" t="str">
        <f t="shared" si="93"/>
        <v>女</v>
      </c>
      <c r="F1206" s="7"/>
    </row>
    <row r="1207" spans="1:6" ht="30" customHeight="1">
      <c r="A1207" s="7">
        <v>1205</v>
      </c>
      <c r="B1207" s="7" t="str">
        <f>"34542021112400212952533"</f>
        <v>34542021112400212952533</v>
      </c>
      <c r="C1207" s="7" t="s">
        <v>17</v>
      </c>
      <c r="D1207" s="7" t="str">
        <f>"谢逢妍"</f>
        <v>谢逢妍</v>
      </c>
      <c r="E1207" s="7" t="str">
        <f t="shared" si="93"/>
        <v>女</v>
      </c>
      <c r="F1207" s="7"/>
    </row>
    <row r="1208" spans="1:6" ht="30" customHeight="1">
      <c r="A1208" s="7">
        <v>1206</v>
      </c>
      <c r="B1208" s="7" t="str">
        <f>"34542021112402225952537"</f>
        <v>34542021112402225952537</v>
      </c>
      <c r="C1208" s="7" t="s">
        <v>17</v>
      </c>
      <c r="D1208" s="7" t="str">
        <f>"曾二香"</f>
        <v>曾二香</v>
      </c>
      <c r="E1208" s="7" t="str">
        <f t="shared" si="93"/>
        <v>女</v>
      </c>
      <c r="F1208" s="7"/>
    </row>
    <row r="1209" spans="1:6" ht="30" customHeight="1">
      <c r="A1209" s="7">
        <v>1207</v>
      </c>
      <c r="B1209" s="7" t="str">
        <f>"34542021112402583352538"</f>
        <v>34542021112402583352538</v>
      </c>
      <c r="C1209" s="7" t="s">
        <v>17</v>
      </c>
      <c r="D1209" s="7" t="str">
        <f>"林秀芳"</f>
        <v>林秀芳</v>
      </c>
      <c r="E1209" s="7" t="str">
        <f t="shared" si="93"/>
        <v>女</v>
      </c>
      <c r="F1209" s="7"/>
    </row>
    <row r="1210" spans="1:6" ht="30" customHeight="1">
      <c r="A1210" s="7">
        <v>1208</v>
      </c>
      <c r="B1210" s="7" t="str">
        <f>"34542021112408060252542"</f>
        <v>34542021112408060252542</v>
      </c>
      <c r="C1210" s="7" t="s">
        <v>17</v>
      </c>
      <c r="D1210" s="7" t="str">
        <f>"黄茹欣"</f>
        <v>黄茹欣</v>
      </c>
      <c r="E1210" s="7" t="str">
        <f t="shared" si="93"/>
        <v>女</v>
      </c>
      <c r="F1210" s="7"/>
    </row>
    <row r="1211" spans="1:6" ht="30" customHeight="1">
      <c r="A1211" s="7">
        <v>1209</v>
      </c>
      <c r="B1211" s="7" t="str">
        <f>"34542021112408165252543"</f>
        <v>34542021112408165252543</v>
      </c>
      <c r="C1211" s="7" t="s">
        <v>17</v>
      </c>
      <c r="D1211" s="7" t="str">
        <f>"郑瑞联"</f>
        <v>郑瑞联</v>
      </c>
      <c r="E1211" s="7" t="str">
        <f t="shared" si="93"/>
        <v>女</v>
      </c>
      <c r="F1211" s="7"/>
    </row>
    <row r="1212" spans="1:6" ht="30" customHeight="1">
      <c r="A1212" s="7">
        <v>1210</v>
      </c>
      <c r="B1212" s="7" t="str">
        <f>"34542021112408422952550"</f>
        <v>34542021112408422952550</v>
      </c>
      <c r="C1212" s="7" t="s">
        <v>17</v>
      </c>
      <c r="D1212" s="7" t="str">
        <f>"牛彦姜"</f>
        <v>牛彦姜</v>
      </c>
      <c r="E1212" s="7" t="str">
        <f t="shared" si="93"/>
        <v>女</v>
      </c>
      <c r="F1212" s="7"/>
    </row>
    <row r="1213" spans="1:6" ht="30" customHeight="1">
      <c r="A1213" s="7">
        <v>1211</v>
      </c>
      <c r="B1213" s="7" t="str">
        <f>"34542021112409502552567"</f>
        <v>34542021112409502552567</v>
      </c>
      <c r="C1213" s="7" t="s">
        <v>17</v>
      </c>
      <c r="D1213" s="7" t="str">
        <f>"张汉娥"</f>
        <v>张汉娥</v>
      </c>
      <c r="E1213" s="7" t="str">
        <f t="shared" si="93"/>
        <v>女</v>
      </c>
      <c r="F1213" s="7"/>
    </row>
    <row r="1214" spans="1:6" ht="30" customHeight="1">
      <c r="A1214" s="7">
        <v>1212</v>
      </c>
      <c r="B1214" s="7" t="str">
        <f>"34542021112409523252569"</f>
        <v>34542021112409523252569</v>
      </c>
      <c r="C1214" s="7" t="s">
        <v>17</v>
      </c>
      <c r="D1214" s="7" t="str">
        <f>"黎文佳"</f>
        <v>黎文佳</v>
      </c>
      <c r="E1214" s="7" t="str">
        <f t="shared" si="93"/>
        <v>女</v>
      </c>
      <c r="F1214" s="7"/>
    </row>
    <row r="1215" spans="1:6" ht="30" customHeight="1">
      <c r="A1215" s="7">
        <v>1213</v>
      </c>
      <c r="B1215" s="7" t="str">
        <f>"34542021112410002852575"</f>
        <v>34542021112410002852575</v>
      </c>
      <c r="C1215" s="7" t="s">
        <v>17</v>
      </c>
      <c r="D1215" s="7" t="str">
        <f>"陈奇慧"</f>
        <v>陈奇慧</v>
      </c>
      <c r="E1215" s="7" t="str">
        <f t="shared" si="93"/>
        <v>女</v>
      </c>
      <c r="F1215" s="7"/>
    </row>
    <row r="1216" spans="1:6" ht="30" customHeight="1">
      <c r="A1216" s="7">
        <v>1214</v>
      </c>
      <c r="B1216" s="7" t="str">
        <f>"34542021112410053152577"</f>
        <v>34542021112410053152577</v>
      </c>
      <c r="C1216" s="7" t="s">
        <v>17</v>
      </c>
      <c r="D1216" s="7" t="str">
        <f>"陈金青"</f>
        <v>陈金青</v>
      </c>
      <c r="E1216" s="7" t="str">
        <f t="shared" si="93"/>
        <v>女</v>
      </c>
      <c r="F1216" s="7"/>
    </row>
    <row r="1217" spans="1:6" ht="30" customHeight="1">
      <c r="A1217" s="7">
        <v>1215</v>
      </c>
      <c r="B1217" s="7" t="str">
        <f>"34542021112410121152581"</f>
        <v>34542021112410121152581</v>
      </c>
      <c r="C1217" s="7" t="s">
        <v>17</v>
      </c>
      <c r="D1217" s="7" t="str">
        <f>"陈英联"</f>
        <v>陈英联</v>
      </c>
      <c r="E1217" s="7" t="str">
        <f t="shared" si="93"/>
        <v>女</v>
      </c>
      <c r="F1217" s="7"/>
    </row>
    <row r="1218" spans="1:6" ht="30" customHeight="1">
      <c r="A1218" s="7">
        <v>1216</v>
      </c>
      <c r="B1218" s="7" t="str">
        <f>"34542021112410232052585"</f>
        <v>34542021112410232052585</v>
      </c>
      <c r="C1218" s="7" t="s">
        <v>17</v>
      </c>
      <c r="D1218" s="7" t="str">
        <f>"吴丽曼"</f>
        <v>吴丽曼</v>
      </c>
      <c r="E1218" s="7" t="str">
        <f t="shared" si="93"/>
        <v>女</v>
      </c>
      <c r="F1218" s="7"/>
    </row>
    <row r="1219" spans="1:6" ht="30" customHeight="1">
      <c r="A1219" s="7">
        <v>1217</v>
      </c>
      <c r="B1219" s="7" t="str">
        <f>"34542021112410324852592"</f>
        <v>34542021112410324852592</v>
      </c>
      <c r="C1219" s="7" t="s">
        <v>17</v>
      </c>
      <c r="D1219" s="7" t="str">
        <f>"刘爱岭"</f>
        <v>刘爱岭</v>
      </c>
      <c r="E1219" s="7" t="str">
        <f t="shared" si="93"/>
        <v>女</v>
      </c>
      <c r="F1219" s="7"/>
    </row>
    <row r="1220" spans="1:6" ht="30" customHeight="1">
      <c r="A1220" s="7">
        <v>1218</v>
      </c>
      <c r="B1220" s="7" t="str">
        <f>"34542021112410365852594"</f>
        <v>34542021112410365852594</v>
      </c>
      <c r="C1220" s="7" t="s">
        <v>17</v>
      </c>
      <c r="D1220" s="7" t="str">
        <f>"陈秀娟"</f>
        <v>陈秀娟</v>
      </c>
      <c r="E1220" s="7" t="str">
        <f t="shared" si="93"/>
        <v>女</v>
      </c>
      <c r="F1220" s="7"/>
    </row>
    <row r="1221" spans="1:6" ht="30" customHeight="1">
      <c r="A1221" s="7">
        <v>1219</v>
      </c>
      <c r="B1221" s="7" t="str">
        <f>"34542021112410390352596"</f>
        <v>34542021112410390352596</v>
      </c>
      <c r="C1221" s="7" t="s">
        <v>17</v>
      </c>
      <c r="D1221" s="7" t="str">
        <f>"吴晓花"</f>
        <v>吴晓花</v>
      </c>
      <c r="E1221" s="7" t="str">
        <f t="shared" si="93"/>
        <v>女</v>
      </c>
      <c r="F1221" s="7"/>
    </row>
    <row r="1222" spans="1:6" ht="30" customHeight="1">
      <c r="A1222" s="7">
        <v>1220</v>
      </c>
      <c r="B1222" s="7" t="str">
        <f>"34542021112410422952598"</f>
        <v>34542021112410422952598</v>
      </c>
      <c r="C1222" s="7" t="s">
        <v>17</v>
      </c>
      <c r="D1222" s="7" t="str">
        <f>"陈宝萍"</f>
        <v>陈宝萍</v>
      </c>
      <c r="E1222" s="7" t="str">
        <f t="shared" si="93"/>
        <v>女</v>
      </c>
      <c r="F1222" s="7"/>
    </row>
    <row r="1223" spans="1:6" ht="30" customHeight="1">
      <c r="A1223" s="7">
        <v>1221</v>
      </c>
      <c r="B1223" s="7" t="str">
        <f>"34542021112411001852606"</f>
        <v>34542021112411001852606</v>
      </c>
      <c r="C1223" s="7" t="s">
        <v>17</v>
      </c>
      <c r="D1223" s="7" t="str">
        <f>"蔡雅婷"</f>
        <v>蔡雅婷</v>
      </c>
      <c r="E1223" s="7" t="str">
        <f t="shared" si="93"/>
        <v>女</v>
      </c>
      <c r="F1223" s="7"/>
    </row>
    <row r="1224" spans="1:6" ht="30" customHeight="1">
      <c r="A1224" s="7">
        <v>1222</v>
      </c>
      <c r="B1224" s="7" t="str">
        <f>"34542021112411334852617"</f>
        <v>34542021112411334852617</v>
      </c>
      <c r="C1224" s="7" t="s">
        <v>17</v>
      </c>
      <c r="D1224" s="7" t="str">
        <f>"林妙麟"</f>
        <v>林妙麟</v>
      </c>
      <c r="E1224" s="7" t="str">
        <f t="shared" si="93"/>
        <v>女</v>
      </c>
      <c r="F1224" s="7"/>
    </row>
    <row r="1225" spans="1:6" ht="30" customHeight="1">
      <c r="A1225" s="7">
        <v>1223</v>
      </c>
      <c r="B1225" s="7" t="str">
        <f>"34542021112411365852620"</f>
        <v>34542021112411365852620</v>
      </c>
      <c r="C1225" s="7" t="s">
        <v>17</v>
      </c>
      <c r="D1225" s="7" t="str">
        <f>"吴定媛"</f>
        <v>吴定媛</v>
      </c>
      <c r="E1225" s="7" t="str">
        <f t="shared" si="93"/>
        <v>女</v>
      </c>
      <c r="F1225" s="7"/>
    </row>
    <row r="1226" spans="1:6" ht="30" customHeight="1">
      <c r="A1226" s="7">
        <v>1224</v>
      </c>
      <c r="B1226" s="7" t="str">
        <f>"34542021112411592052628"</f>
        <v>34542021112411592052628</v>
      </c>
      <c r="C1226" s="7" t="s">
        <v>17</v>
      </c>
      <c r="D1226" s="7" t="str">
        <f>"李二萍"</f>
        <v>李二萍</v>
      </c>
      <c r="E1226" s="7" t="str">
        <f t="shared" si="93"/>
        <v>女</v>
      </c>
      <c r="F1226" s="7"/>
    </row>
    <row r="1227" spans="1:6" ht="30" customHeight="1">
      <c r="A1227" s="7">
        <v>1225</v>
      </c>
      <c r="B1227" s="7" t="str">
        <f>"34542021112412140752632"</f>
        <v>34542021112412140752632</v>
      </c>
      <c r="C1227" s="7" t="s">
        <v>17</v>
      </c>
      <c r="D1227" s="7" t="str">
        <f>"王丽莉"</f>
        <v>王丽莉</v>
      </c>
      <c r="E1227" s="7" t="str">
        <f t="shared" si="93"/>
        <v>女</v>
      </c>
      <c r="F1227" s="7"/>
    </row>
    <row r="1228" spans="1:6" ht="30" customHeight="1">
      <c r="A1228" s="7">
        <v>1226</v>
      </c>
      <c r="B1228" s="7" t="str">
        <f>"34542021112412175652634"</f>
        <v>34542021112412175652634</v>
      </c>
      <c r="C1228" s="7" t="s">
        <v>17</v>
      </c>
      <c r="D1228" s="7" t="str">
        <f>"李尚妹"</f>
        <v>李尚妹</v>
      </c>
      <c r="E1228" s="7" t="str">
        <f t="shared" si="93"/>
        <v>女</v>
      </c>
      <c r="F1228" s="7"/>
    </row>
    <row r="1229" spans="1:6" ht="30" customHeight="1">
      <c r="A1229" s="7">
        <v>1227</v>
      </c>
      <c r="B1229" s="7" t="str">
        <f>"34542021112412245352636"</f>
        <v>34542021112412245352636</v>
      </c>
      <c r="C1229" s="7" t="s">
        <v>17</v>
      </c>
      <c r="D1229" s="7" t="str">
        <f>"李定兰"</f>
        <v>李定兰</v>
      </c>
      <c r="E1229" s="7" t="str">
        <f t="shared" si="93"/>
        <v>女</v>
      </c>
      <c r="F1229" s="7"/>
    </row>
    <row r="1230" spans="1:6" ht="30" customHeight="1">
      <c r="A1230" s="7">
        <v>1228</v>
      </c>
      <c r="B1230" s="7" t="str">
        <f>"34542021112412530552640"</f>
        <v>34542021112412530552640</v>
      </c>
      <c r="C1230" s="7" t="s">
        <v>17</v>
      </c>
      <c r="D1230" s="7" t="str">
        <f>"朱静坚"</f>
        <v>朱静坚</v>
      </c>
      <c r="E1230" s="7" t="str">
        <f t="shared" si="93"/>
        <v>女</v>
      </c>
      <c r="F1230" s="7"/>
    </row>
    <row r="1231" spans="1:6" ht="30" customHeight="1">
      <c r="A1231" s="7">
        <v>1229</v>
      </c>
      <c r="B1231" s="7" t="str">
        <f>"34542021112413321052645"</f>
        <v>34542021112413321052645</v>
      </c>
      <c r="C1231" s="7" t="s">
        <v>17</v>
      </c>
      <c r="D1231" s="7" t="str">
        <f>"陈丹桂"</f>
        <v>陈丹桂</v>
      </c>
      <c r="E1231" s="7" t="str">
        <f t="shared" si="93"/>
        <v>女</v>
      </c>
      <c r="F1231" s="7"/>
    </row>
    <row r="1232" spans="1:6" ht="30" customHeight="1">
      <c r="A1232" s="7">
        <v>1230</v>
      </c>
      <c r="B1232" s="7" t="str">
        <f>"34542021112413395752646"</f>
        <v>34542021112413395752646</v>
      </c>
      <c r="C1232" s="7" t="s">
        <v>17</v>
      </c>
      <c r="D1232" s="7" t="str">
        <f>"符秋美"</f>
        <v>符秋美</v>
      </c>
      <c r="E1232" s="7" t="str">
        <f t="shared" si="93"/>
        <v>女</v>
      </c>
      <c r="F1232" s="7"/>
    </row>
    <row r="1233" spans="1:6" ht="30" customHeight="1">
      <c r="A1233" s="7">
        <v>1231</v>
      </c>
      <c r="B1233" s="7" t="str">
        <f>"34542021112413581752647"</f>
        <v>34542021112413581752647</v>
      </c>
      <c r="C1233" s="7" t="s">
        <v>17</v>
      </c>
      <c r="D1233" s="7" t="str">
        <f>"谢绍丽"</f>
        <v>谢绍丽</v>
      </c>
      <c r="E1233" s="7" t="str">
        <f t="shared" si="93"/>
        <v>女</v>
      </c>
      <c r="F1233" s="7"/>
    </row>
    <row r="1234" spans="1:6" ht="30" customHeight="1">
      <c r="A1234" s="7">
        <v>1232</v>
      </c>
      <c r="B1234" s="7" t="str">
        <f>"34542021112414035652648"</f>
        <v>34542021112414035652648</v>
      </c>
      <c r="C1234" s="7" t="s">
        <v>17</v>
      </c>
      <c r="D1234" s="7" t="str">
        <f>"符秋美"</f>
        <v>符秋美</v>
      </c>
      <c r="E1234" s="7" t="str">
        <f t="shared" si="93"/>
        <v>女</v>
      </c>
      <c r="F1234" s="7"/>
    </row>
    <row r="1235" spans="1:6" ht="30" customHeight="1">
      <c r="A1235" s="7">
        <v>1233</v>
      </c>
      <c r="B1235" s="7" t="str">
        <f>"34542021112414124452653"</f>
        <v>34542021112414124452653</v>
      </c>
      <c r="C1235" s="7" t="s">
        <v>17</v>
      </c>
      <c r="D1235" s="7" t="str">
        <f>"邓运园"</f>
        <v>邓运园</v>
      </c>
      <c r="E1235" s="7" t="str">
        <f t="shared" si="93"/>
        <v>女</v>
      </c>
      <c r="F1235" s="7"/>
    </row>
    <row r="1236" spans="1:6" ht="30" customHeight="1">
      <c r="A1236" s="7">
        <v>1234</v>
      </c>
      <c r="B1236" s="7" t="str">
        <f>"34542021112414181552654"</f>
        <v>34542021112414181552654</v>
      </c>
      <c r="C1236" s="7" t="s">
        <v>17</v>
      </c>
      <c r="D1236" s="7" t="s">
        <v>18</v>
      </c>
      <c r="E1236" s="7" t="str">
        <f t="shared" si="93"/>
        <v>女</v>
      </c>
      <c r="F1236" s="7"/>
    </row>
    <row r="1237" spans="1:6" ht="30" customHeight="1">
      <c r="A1237" s="7">
        <v>1235</v>
      </c>
      <c r="B1237" s="7" t="str">
        <f>"34542021112415165152666"</f>
        <v>34542021112415165152666</v>
      </c>
      <c r="C1237" s="7" t="s">
        <v>17</v>
      </c>
      <c r="D1237" s="7" t="str">
        <f>"童启莲"</f>
        <v>童启莲</v>
      </c>
      <c r="E1237" s="7" t="str">
        <f t="shared" si="93"/>
        <v>女</v>
      </c>
      <c r="F1237" s="7"/>
    </row>
    <row r="1238" spans="1:6" ht="30" customHeight="1">
      <c r="A1238" s="7">
        <v>1236</v>
      </c>
      <c r="B1238" s="7" t="str">
        <f>"34542021112415534152673"</f>
        <v>34542021112415534152673</v>
      </c>
      <c r="C1238" s="7" t="s">
        <v>17</v>
      </c>
      <c r="D1238" s="7" t="str">
        <f>"林道莹"</f>
        <v>林道莹</v>
      </c>
      <c r="E1238" s="7" t="str">
        <f t="shared" si="93"/>
        <v>女</v>
      </c>
      <c r="F1238" s="7"/>
    </row>
    <row r="1239" spans="1:6" ht="30" customHeight="1">
      <c r="A1239" s="7">
        <v>1237</v>
      </c>
      <c r="B1239" s="7" t="str">
        <f>"34542021112415555052674"</f>
        <v>34542021112415555052674</v>
      </c>
      <c r="C1239" s="7" t="s">
        <v>17</v>
      </c>
      <c r="D1239" s="7" t="str">
        <f>"林赞芳"</f>
        <v>林赞芳</v>
      </c>
      <c r="E1239" s="7" t="str">
        <f t="shared" si="93"/>
        <v>女</v>
      </c>
      <c r="F1239" s="7"/>
    </row>
    <row r="1240" spans="1:6" ht="30" customHeight="1">
      <c r="A1240" s="7">
        <v>1238</v>
      </c>
      <c r="B1240" s="7" t="str">
        <f>"34542021112416041852679"</f>
        <v>34542021112416041852679</v>
      </c>
      <c r="C1240" s="7" t="s">
        <v>17</v>
      </c>
      <c r="D1240" s="7" t="str">
        <f>"陈豪富"</f>
        <v>陈豪富</v>
      </c>
      <c r="E1240" s="7" t="str">
        <f>"男"</f>
        <v>男</v>
      </c>
      <c r="F1240" s="7"/>
    </row>
    <row r="1241" spans="1:6" ht="30" customHeight="1">
      <c r="A1241" s="7">
        <v>1239</v>
      </c>
      <c r="B1241" s="7" t="str">
        <f>"34542021112416072252681"</f>
        <v>34542021112416072252681</v>
      </c>
      <c r="C1241" s="7" t="s">
        <v>17</v>
      </c>
      <c r="D1241" s="7" t="str">
        <f>"唐国坤"</f>
        <v>唐国坤</v>
      </c>
      <c r="E1241" s="7" t="str">
        <f aca="true" t="shared" si="94" ref="E1241:E1304">"女"</f>
        <v>女</v>
      </c>
      <c r="F1241" s="7"/>
    </row>
    <row r="1242" spans="1:6" ht="30" customHeight="1">
      <c r="A1242" s="7">
        <v>1240</v>
      </c>
      <c r="B1242" s="7" t="str">
        <f>"34542021112416081352683"</f>
        <v>34542021112416081352683</v>
      </c>
      <c r="C1242" s="7" t="s">
        <v>17</v>
      </c>
      <c r="D1242" s="7" t="str">
        <f>"蔡碧彩"</f>
        <v>蔡碧彩</v>
      </c>
      <c r="E1242" s="7" t="str">
        <f t="shared" si="94"/>
        <v>女</v>
      </c>
      <c r="F1242" s="7"/>
    </row>
    <row r="1243" spans="1:6" ht="30" customHeight="1">
      <c r="A1243" s="7">
        <v>1241</v>
      </c>
      <c r="B1243" s="7" t="str">
        <f>"34542021112416103752686"</f>
        <v>34542021112416103752686</v>
      </c>
      <c r="C1243" s="7" t="s">
        <v>17</v>
      </c>
      <c r="D1243" s="7" t="str">
        <f>"谢享嫔"</f>
        <v>谢享嫔</v>
      </c>
      <c r="E1243" s="7" t="str">
        <f t="shared" si="94"/>
        <v>女</v>
      </c>
      <c r="F1243" s="7"/>
    </row>
    <row r="1244" spans="1:6" ht="30" customHeight="1">
      <c r="A1244" s="7">
        <v>1242</v>
      </c>
      <c r="B1244" s="7" t="str">
        <f>"34542021112416264152691"</f>
        <v>34542021112416264152691</v>
      </c>
      <c r="C1244" s="7" t="s">
        <v>17</v>
      </c>
      <c r="D1244" s="7" t="str">
        <f>"陈丽丽"</f>
        <v>陈丽丽</v>
      </c>
      <c r="E1244" s="7" t="str">
        <f t="shared" si="94"/>
        <v>女</v>
      </c>
      <c r="F1244" s="7"/>
    </row>
    <row r="1245" spans="1:6" ht="30" customHeight="1">
      <c r="A1245" s="7">
        <v>1243</v>
      </c>
      <c r="B1245" s="7" t="str">
        <f>"34542021112416274952692"</f>
        <v>34542021112416274952692</v>
      </c>
      <c r="C1245" s="7" t="s">
        <v>17</v>
      </c>
      <c r="D1245" s="7" t="str">
        <f>"李香凤"</f>
        <v>李香凤</v>
      </c>
      <c r="E1245" s="7" t="str">
        <f t="shared" si="94"/>
        <v>女</v>
      </c>
      <c r="F1245" s="7"/>
    </row>
    <row r="1246" spans="1:6" ht="30" customHeight="1">
      <c r="A1246" s="7">
        <v>1244</v>
      </c>
      <c r="B1246" s="7" t="str">
        <f>"34542021112416292852693"</f>
        <v>34542021112416292852693</v>
      </c>
      <c r="C1246" s="7" t="s">
        <v>17</v>
      </c>
      <c r="D1246" s="7" t="str">
        <f>"杨春香"</f>
        <v>杨春香</v>
      </c>
      <c r="E1246" s="7" t="str">
        <f t="shared" si="94"/>
        <v>女</v>
      </c>
      <c r="F1246" s="7"/>
    </row>
    <row r="1247" spans="1:6" ht="30" customHeight="1">
      <c r="A1247" s="7">
        <v>1245</v>
      </c>
      <c r="B1247" s="7" t="str">
        <f>"34542021112417441152711"</f>
        <v>34542021112417441152711</v>
      </c>
      <c r="C1247" s="7" t="s">
        <v>17</v>
      </c>
      <c r="D1247" s="7" t="str">
        <f>"符喜秀"</f>
        <v>符喜秀</v>
      </c>
      <c r="E1247" s="7" t="str">
        <f t="shared" si="94"/>
        <v>女</v>
      </c>
      <c r="F1247" s="7"/>
    </row>
    <row r="1248" spans="1:6" ht="30" customHeight="1">
      <c r="A1248" s="7">
        <v>1246</v>
      </c>
      <c r="B1248" s="7" t="str">
        <f>"34542021112417460852712"</f>
        <v>34542021112417460852712</v>
      </c>
      <c r="C1248" s="7" t="s">
        <v>17</v>
      </c>
      <c r="D1248" s="7" t="str">
        <f>"王钰"</f>
        <v>王钰</v>
      </c>
      <c r="E1248" s="7" t="str">
        <f t="shared" si="94"/>
        <v>女</v>
      </c>
      <c r="F1248" s="7"/>
    </row>
    <row r="1249" spans="1:6" ht="30" customHeight="1">
      <c r="A1249" s="7">
        <v>1247</v>
      </c>
      <c r="B1249" s="7" t="str">
        <f>"34542021112417525452713"</f>
        <v>34542021112417525452713</v>
      </c>
      <c r="C1249" s="7" t="s">
        <v>17</v>
      </c>
      <c r="D1249" s="7" t="str">
        <f>"王顺玲"</f>
        <v>王顺玲</v>
      </c>
      <c r="E1249" s="7" t="str">
        <f t="shared" si="94"/>
        <v>女</v>
      </c>
      <c r="F1249" s="7"/>
    </row>
    <row r="1250" spans="1:6" ht="30" customHeight="1">
      <c r="A1250" s="7">
        <v>1248</v>
      </c>
      <c r="B1250" s="7" t="str">
        <f>"34542021112418161152716"</f>
        <v>34542021112418161152716</v>
      </c>
      <c r="C1250" s="7" t="s">
        <v>17</v>
      </c>
      <c r="D1250" s="7" t="str">
        <f>"薛良妹"</f>
        <v>薛良妹</v>
      </c>
      <c r="E1250" s="7" t="str">
        <f t="shared" si="94"/>
        <v>女</v>
      </c>
      <c r="F1250" s="7"/>
    </row>
    <row r="1251" spans="1:6" ht="30" customHeight="1">
      <c r="A1251" s="7">
        <v>1249</v>
      </c>
      <c r="B1251" s="7" t="str">
        <f>"34542021112418270252719"</f>
        <v>34542021112418270252719</v>
      </c>
      <c r="C1251" s="7" t="s">
        <v>17</v>
      </c>
      <c r="D1251" s="7" t="str">
        <f>"胡秀美"</f>
        <v>胡秀美</v>
      </c>
      <c r="E1251" s="7" t="str">
        <f t="shared" si="94"/>
        <v>女</v>
      </c>
      <c r="F1251" s="7"/>
    </row>
    <row r="1252" spans="1:6" ht="30" customHeight="1">
      <c r="A1252" s="7">
        <v>1250</v>
      </c>
      <c r="B1252" s="7" t="str">
        <f>"34542021112418313052722"</f>
        <v>34542021112418313052722</v>
      </c>
      <c r="C1252" s="7" t="s">
        <v>17</v>
      </c>
      <c r="D1252" s="7" t="str">
        <f>"李颖"</f>
        <v>李颖</v>
      </c>
      <c r="E1252" s="7" t="str">
        <f t="shared" si="94"/>
        <v>女</v>
      </c>
      <c r="F1252" s="7"/>
    </row>
    <row r="1253" spans="1:6" ht="30" customHeight="1">
      <c r="A1253" s="7">
        <v>1251</v>
      </c>
      <c r="B1253" s="7" t="str">
        <f>"34542021112418324252725"</f>
        <v>34542021112418324252725</v>
      </c>
      <c r="C1253" s="7" t="s">
        <v>17</v>
      </c>
      <c r="D1253" s="7" t="str">
        <f>"谢信妹"</f>
        <v>谢信妹</v>
      </c>
      <c r="E1253" s="7" t="str">
        <f t="shared" si="94"/>
        <v>女</v>
      </c>
      <c r="F1253" s="7"/>
    </row>
    <row r="1254" spans="1:6" ht="30" customHeight="1">
      <c r="A1254" s="7">
        <v>1252</v>
      </c>
      <c r="B1254" s="7" t="str">
        <f>"34542021112418350852727"</f>
        <v>34542021112418350852727</v>
      </c>
      <c r="C1254" s="7" t="s">
        <v>17</v>
      </c>
      <c r="D1254" s="7" t="str">
        <f>"吕川"</f>
        <v>吕川</v>
      </c>
      <c r="E1254" s="7" t="str">
        <f t="shared" si="94"/>
        <v>女</v>
      </c>
      <c r="F1254" s="7"/>
    </row>
    <row r="1255" spans="1:6" ht="30" customHeight="1">
      <c r="A1255" s="7">
        <v>1253</v>
      </c>
      <c r="B1255" s="7" t="str">
        <f>"34542021112418373452729"</f>
        <v>34542021112418373452729</v>
      </c>
      <c r="C1255" s="7" t="s">
        <v>17</v>
      </c>
      <c r="D1255" s="7" t="str">
        <f>"李盈美"</f>
        <v>李盈美</v>
      </c>
      <c r="E1255" s="7" t="str">
        <f t="shared" si="94"/>
        <v>女</v>
      </c>
      <c r="F1255" s="7"/>
    </row>
    <row r="1256" spans="1:6" ht="30" customHeight="1">
      <c r="A1256" s="7">
        <v>1254</v>
      </c>
      <c r="B1256" s="7" t="str">
        <f>"34542021112418381452730"</f>
        <v>34542021112418381452730</v>
      </c>
      <c r="C1256" s="7" t="s">
        <v>17</v>
      </c>
      <c r="D1256" s="7" t="str">
        <f>"邱达春"</f>
        <v>邱达春</v>
      </c>
      <c r="E1256" s="7" t="str">
        <f t="shared" si="94"/>
        <v>女</v>
      </c>
      <c r="F1256" s="7"/>
    </row>
    <row r="1257" spans="1:6" ht="30" customHeight="1">
      <c r="A1257" s="7">
        <v>1255</v>
      </c>
      <c r="B1257" s="7" t="str">
        <f>"34542021112419100152739"</f>
        <v>34542021112419100152739</v>
      </c>
      <c r="C1257" s="7" t="s">
        <v>17</v>
      </c>
      <c r="D1257" s="7" t="str">
        <f>"何洁如"</f>
        <v>何洁如</v>
      </c>
      <c r="E1257" s="7" t="str">
        <f t="shared" si="94"/>
        <v>女</v>
      </c>
      <c r="F1257" s="7"/>
    </row>
    <row r="1258" spans="1:6" ht="30" customHeight="1">
      <c r="A1258" s="7">
        <v>1256</v>
      </c>
      <c r="B1258" s="7" t="str">
        <f>"34542021112419120252741"</f>
        <v>34542021112419120252741</v>
      </c>
      <c r="C1258" s="7" t="s">
        <v>17</v>
      </c>
      <c r="D1258" s="7" t="str">
        <f>"李金爱"</f>
        <v>李金爱</v>
      </c>
      <c r="E1258" s="7" t="str">
        <f t="shared" si="94"/>
        <v>女</v>
      </c>
      <c r="F1258" s="7"/>
    </row>
    <row r="1259" spans="1:6" ht="30" customHeight="1">
      <c r="A1259" s="7">
        <v>1257</v>
      </c>
      <c r="B1259" s="7" t="str">
        <f>"34542021112419153252742"</f>
        <v>34542021112419153252742</v>
      </c>
      <c r="C1259" s="7" t="s">
        <v>17</v>
      </c>
      <c r="D1259" s="7" t="str">
        <f>"张美献"</f>
        <v>张美献</v>
      </c>
      <c r="E1259" s="7" t="str">
        <f t="shared" si="94"/>
        <v>女</v>
      </c>
      <c r="F1259" s="7"/>
    </row>
    <row r="1260" spans="1:6" ht="30" customHeight="1">
      <c r="A1260" s="7">
        <v>1258</v>
      </c>
      <c r="B1260" s="7" t="str">
        <f>"34542021112419240652744"</f>
        <v>34542021112419240652744</v>
      </c>
      <c r="C1260" s="7" t="s">
        <v>17</v>
      </c>
      <c r="D1260" s="7" t="str">
        <f>"李月生"</f>
        <v>李月生</v>
      </c>
      <c r="E1260" s="7" t="str">
        <f t="shared" si="94"/>
        <v>女</v>
      </c>
      <c r="F1260" s="7"/>
    </row>
    <row r="1261" spans="1:6" ht="30" customHeight="1">
      <c r="A1261" s="7">
        <v>1259</v>
      </c>
      <c r="B1261" s="7" t="str">
        <f>"34542021112419282452747"</f>
        <v>34542021112419282452747</v>
      </c>
      <c r="C1261" s="7" t="s">
        <v>17</v>
      </c>
      <c r="D1261" s="7" t="str">
        <f>"符秀霞"</f>
        <v>符秀霞</v>
      </c>
      <c r="E1261" s="7" t="str">
        <f t="shared" si="94"/>
        <v>女</v>
      </c>
      <c r="F1261" s="7"/>
    </row>
    <row r="1262" spans="1:6" ht="30" customHeight="1">
      <c r="A1262" s="7">
        <v>1260</v>
      </c>
      <c r="B1262" s="7" t="str">
        <f>"34542021112419350052751"</f>
        <v>34542021112419350052751</v>
      </c>
      <c r="C1262" s="7" t="s">
        <v>17</v>
      </c>
      <c r="D1262" s="7" t="str">
        <f>"吴建娜"</f>
        <v>吴建娜</v>
      </c>
      <c r="E1262" s="7" t="str">
        <f t="shared" si="94"/>
        <v>女</v>
      </c>
      <c r="F1262" s="7"/>
    </row>
    <row r="1263" spans="1:6" ht="30" customHeight="1">
      <c r="A1263" s="7">
        <v>1261</v>
      </c>
      <c r="B1263" s="7" t="str">
        <f>"34542021112419373252753"</f>
        <v>34542021112419373252753</v>
      </c>
      <c r="C1263" s="7" t="s">
        <v>17</v>
      </c>
      <c r="D1263" s="7" t="str">
        <f>"羊高丽"</f>
        <v>羊高丽</v>
      </c>
      <c r="E1263" s="7" t="str">
        <f t="shared" si="94"/>
        <v>女</v>
      </c>
      <c r="F1263" s="7"/>
    </row>
    <row r="1264" spans="1:6" ht="30" customHeight="1">
      <c r="A1264" s="7">
        <v>1262</v>
      </c>
      <c r="B1264" s="7" t="str">
        <f>"34542021112419415552755"</f>
        <v>34542021112419415552755</v>
      </c>
      <c r="C1264" s="7" t="s">
        <v>17</v>
      </c>
      <c r="D1264" s="7" t="str">
        <f>"陈三玲"</f>
        <v>陈三玲</v>
      </c>
      <c r="E1264" s="7" t="str">
        <f t="shared" si="94"/>
        <v>女</v>
      </c>
      <c r="F1264" s="7"/>
    </row>
    <row r="1265" spans="1:6" ht="30" customHeight="1">
      <c r="A1265" s="7">
        <v>1263</v>
      </c>
      <c r="B1265" s="7" t="str">
        <f>"34542021112419584752763"</f>
        <v>34542021112419584752763</v>
      </c>
      <c r="C1265" s="7" t="s">
        <v>17</v>
      </c>
      <c r="D1265" s="7" t="str">
        <f>"林虹"</f>
        <v>林虹</v>
      </c>
      <c r="E1265" s="7" t="str">
        <f t="shared" si="94"/>
        <v>女</v>
      </c>
      <c r="F1265" s="7"/>
    </row>
    <row r="1266" spans="1:6" ht="30" customHeight="1">
      <c r="A1266" s="7">
        <v>1264</v>
      </c>
      <c r="B1266" s="7" t="str">
        <f>"34542021112420180852769"</f>
        <v>34542021112420180852769</v>
      </c>
      <c r="C1266" s="7" t="s">
        <v>17</v>
      </c>
      <c r="D1266" s="7" t="str">
        <f>"陈金来"</f>
        <v>陈金来</v>
      </c>
      <c r="E1266" s="7" t="str">
        <f t="shared" si="94"/>
        <v>女</v>
      </c>
      <c r="F1266" s="7"/>
    </row>
    <row r="1267" spans="1:6" ht="30" customHeight="1">
      <c r="A1267" s="7">
        <v>1265</v>
      </c>
      <c r="B1267" s="7" t="str">
        <f>"34542021112420190152770"</f>
        <v>34542021112420190152770</v>
      </c>
      <c r="C1267" s="7" t="s">
        <v>17</v>
      </c>
      <c r="D1267" s="7" t="str">
        <f>"黄丽玲"</f>
        <v>黄丽玲</v>
      </c>
      <c r="E1267" s="7" t="str">
        <f t="shared" si="94"/>
        <v>女</v>
      </c>
      <c r="F1267" s="7"/>
    </row>
    <row r="1268" spans="1:6" ht="30" customHeight="1">
      <c r="A1268" s="7">
        <v>1266</v>
      </c>
      <c r="B1268" s="7" t="str">
        <f>"34542021112420391552776"</f>
        <v>34542021112420391552776</v>
      </c>
      <c r="C1268" s="7" t="s">
        <v>17</v>
      </c>
      <c r="D1268" s="7" t="str">
        <f>"李先波"</f>
        <v>李先波</v>
      </c>
      <c r="E1268" s="7" t="str">
        <f t="shared" si="94"/>
        <v>女</v>
      </c>
      <c r="F1268" s="7"/>
    </row>
    <row r="1269" spans="1:6" ht="30" customHeight="1">
      <c r="A1269" s="7">
        <v>1267</v>
      </c>
      <c r="B1269" s="7" t="str">
        <f>"34542021112420403252777"</f>
        <v>34542021112420403252777</v>
      </c>
      <c r="C1269" s="7" t="s">
        <v>17</v>
      </c>
      <c r="D1269" s="7" t="str">
        <f>"李冬菊"</f>
        <v>李冬菊</v>
      </c>
      <c r="E1269" s="7" t="str">
        <f t="shared" si="94"/>
        <v>女</v>
      </c>
      <c r="F1269" s="7"/>
    </row>
    <row r="1270" spans="1:6" ht="30" customHeight="1">
      <c r="A1270" s="7">
        <v>1268</v>
      </c>
      <c r="B1270" s="7" t="str">
        <f>"34542021112420550152781"</f>
        <v>34542021112420550152781</v>
      </c>
      <c r="C1270" s="7" t="s">
        <v>17</v>
      </c>
      <c r="D1270" s="7" t="str">
        <f>"何爱玲"</f>
        <v>何爱玲</v>
      </c>
      <c r="E1270" s="7" t="str">
        <f t="shared" si="94"/>
        <v>女</v>
      </c>
      <c r="F1270" s="7"/>
    </row>
    <row r="1271" spans="1:6" ht="30" customHeight="1">
      <c r="A1271" s="7">
        <v>1269</v>
      </c>
      <c r="B1271" s="7" t="str">
        <f>"34542021112420580552782"</f>
        <v>34542021112420580552782</v>
      </c>
      <c r="C1271" s="7" t="s">
        <v>17</v>
      </c>
      <c r="D1271" s="7" t="str">
        <f>"羊娇梅"</f>
        <v>羊娇梅</v>
      </c>
      <c r="E1271" s="7" t="str">
        <f t="shared" si="94"/>
        <v>女</v>
      </c>
      <c r="F1271" s="7"/>
    </row>
    <row r="1272" spans="1:6" ht="30" customHeight="1">
      <c r="A1272" s="7">
        <v>1270</v>
      </c>
      <c r="B1272" s="7" t="str">
        <f>"34542021112421000352783"</f>
        <v>34542021112421000352783</v>
      </c>
      <c r="C1272" s="7" t="s">
        <v>17</v>
      </c>
      <c r="D1272" s="7" t="str">
        <f>"李天蓝"</f>
        <v>李天蓝</v>
      </c>
      <c r="E1272" s="7" t="str">
        <f t="shared" si="94"/>
        <v>女</v>
      </c>
      <c r="F1272" s="7"/>
    </row>
    <row r="1273" spans="1:6" ht="30" customHeight="1">
      <c r="A1273" s="7">
        <v>1271</v>
      </c>
      <c r="B1273" s="7" t="str">
        <f>"34542021112421031452785"</f>
        <v>34542021112421031452785</v>
      </c>
      <c r="C1273" s="7" t="s">
        <v>17</v>
      </c>
      <c r="D1273" s="7" t="str">
        <f>"羊淑蓬"</f>
        <v>羊淑蓬</v>
      </c>
      <c r="E1273" s="7" t="str">
        <f t="shared" si="94"/>
        <v>女</v>
      </c>
      <c r="F1273" s="7"/>
    </row>
    <row r="1274" spans="1:6" ht="30" customHeight="1">
      <c r="A1274" s="7">
        <v>1272</v>
      </c>
      <c r="B1274" s="7" t="str">
        <f>"34542021112421103352786"</f>
        <v>34542021112421103352786</v>
      </c>
      <c r="C1274" s="7" t="s">
        <v>17</v>
      </c>
      <c r="D1274" s="7" t="str">
        <f>"陈甲川"</f>
        <v>陈甲川</v>
      </c>
      <c r="E1274" s="7" t="str">
        <f t="shared" si="94"/>
        <v>女</v>
      </c>
      <c r="F1274" s="7"/>
    </row>
    <row r="1275" spans="1:6" ht="30" customHeight="1">
      <c r="A1275" s="7">
        <v>1273</v>
      </c>
      <c r="B1275" s="7" t="str">
        <f>"34542021112421143752788"</f>
        <v>34542021112421143752788</v>
      </c>
      <c r="C1275" s="7" t="s">
        <v>17</v>
      </c>
      <c r="D1275" s="7" t="str">
        <f>"羊鸾喜"</f>
        <v>羊鸾喜</v>
      </c>
      <c r="E1275" s="7" t="str">
        <f t="shared" si="94"/>
        <v>女</v>
      </c>
      <c r="F1275" s="7"/>
    </row>
    <row r="1276" spans="1:6" ht="30" customHeight="1">
      <c r="A1276" s="7">
        <v>1274</v>
      </c>
      <c r="B1276" s="7" t="str">
        <f>"34542021112421160952789"</f>
        <v>34542021112421160952789</v>
      </c>
      <c r="C1276" s="7" t="s">
        <v>17</v>
      </c>
      <c r="D1276" s="7" t="str">
        <f>"黎柳妹"</f>
        <v>黎柳妹</v>
      </c>
      <c r="E1276" s="7" t="str">
        <f t="shared" si="94"/>
        <v>女</v>
      </c>
      <c r="F1276" s="7"/>
    </row>
    <row r="1277" spans="1:6" ht="30" customHeight="1">
      <c r="A1277" s="7">
        <v>1275</v>
      </c>
      <c r="B1277" s="7" t="str">
        <f>"34542021112421244052792"</f>
        <v>34542021112421244052792</v>
      </c>
      <c r="C1277" s="7" t="s">
        <v>17</v>
      </c>
      <c r="D1277" s="7" t="str">
        <f>"陈杰玲"</f>
        <v>陈杰玲</v>
      </c>
      <c r="E1277" s="7" t="str">
        <f t="shared" si="94"/>
        <v>女</v>
      </c>
      <c r="F1277" s="7"/>
    </row>
    <row r="1278" spans="1:6" ht="30" customHeight="1">
      <c r="A1278" s="7">
        <v>1276</v>
      </c>
      <c r="B1278" s="7" t="str">
        <f>"34542021112421305852794"</f>
        <v>34542021112421305852794</v>
      </c>
      <c r="C1278" s="7" t="s">
        <v>17</v>
      </c>
      <c r="D1278" s="7" t="str">
        <f>"赵国梅"</f>
        <v>赵国梅</v>
      </c>
      <c r="E1278" s="7" t="str">
        <f t="shared" si="94"/>
        <v>女</v>
      </c>
      <c r="F1278" s="7"/>
    </row>
    <row r="1279" spans="1:6" ht="30" customHeight="1">
      <c r="A1279" s="7">
        <v>1277</v>
      </c>
      <c r="B1279" s="7" t="str">
        <f>"34542021112421460752799"</f>
        <v>34542021112421460752799</v>
      </c>
      <c r="C1279" s="7" t="s">
        <v>17</v>
      </c>
      <c r="D1279" s="7" t="str">
        <f>"邓奇艳"</f>
        <v>邓奇艳</v>
      </c>
      <c r="E1279" s="7" t="str">
        <f t="shared" si="94"/>
        <v>女</v>
      </c>
      <c r="F1279" s="7"/>
    </row>
    <row r="1280" spans="1:6" ht="30" customHeight="1">
      <c r="A1280" s="7">
        <v>1278</v>
      </c>
      <c r="B1280" s="7" t="str">
        <f>"34542021112421543352806"</f>
        <v>34542021112421543352806</v>
      </c>
      <c r="C1280" s="7" t="s">
        <v>17</v>
      </c>
      <c r="D1280" s="7" t="str">
        <f>"陈娜"</f>
        <v>陈娜</v>
      </c>
      <c r="E1280" s="7" t="str">
        <f t="shared" si="94"/>
        <v>女</v>
      </c>
      <c r="F1280" s="7"/>
    </row>
    <row r="1281" spans="1:6" ht="30" customHeight="1">
      <c r="A1281" s="7">
        <v>1279</v>
      </c>
      <c r="B1281" s="7" t="str">
        <f>"34542021112422005252808"</f>
        <v>34542021112422005252808</v>
      </c>
      <c r="C1281" s="7" t="s">
        <v>17</v>
      </c>
      <c r="D1281" s="7" t="str">
        <f>"李菊"</f>
        <v>李菊</v>
      </c>
      <c r="E1281" s="7" t="str">
        <f t="shared" si="94"/>
        <v>女</v>
      </c>
      <c r="F1281" s="7"/>
    </row>
    <row r="1282" spans="1:6" ht="30" customHeight="1">
      <c r="A1282" s="7">
        <v>1280</v>
      </c>
      <c r="B1282" s="7" t="str">
        <f>"34542021112422131452812"</f>
        <v>34542021112422131452812</v>
      </c>
      <c r="C1282" s="7" t="s">
        <v>17</v>
      </c>
      <c r="D1282" s="7" t="str">
        <f>"王廷姐"</f>
        <v>王廷姐</v>
      </c>
      <c r="E1282" s="7" t="str">
        <f t="shared" si="94"/>
        <v>女</v>
      </c>
      <c r="F1282" s="7"/>
    </row>
    <row r="1283" spans="1:6" ht="30" customHeight="1">
      <c r="A1283" s="7">
        <v>1281</v>
      </c>
      <c r="B1283" s="7" t="str">
        <f>"34542021112422150852815"</f>
        <v>34542021112422150852815</v>
      </c>
      <c r="C1283" s="7" t="s">
        <v>17</v>
      </c>
      <c r="D1283" s="7" t="str">
        <f>"陈秀花"</f>
        <v>陈秀花</v>
      </c>
      <c r="E1283" s="7" t="str">
        <f t="shared" si="94"/>
        <v>女</v>
      </c>
      <c r="F1283" s="7"/>
    </row>
    <row r="1284" spans="1:6" ht="30" customHeight="1">
      <c r="A1284" s="7">
        <v>1282</v>
      </c>
      <c r="B1284" s="7" t="str">
        <f>"34542021112422174752817"</f>
        <v>34542021112422174752817</v>
      </c>
      <c r="C1284" s="7" t="s">
        <v>17</v>
      </c>
      <c r="D1284" s="7" t="str">
        <f>"曾福彩"</f>
        <v>曾福彩</v>
      </c>
      <c r="E1284" s="7" t="str">
        <f t="shared" si="94"/>
        <v>女</v>
      </c>
      <c r="F1284" s="7"/>
    </row>
    <row r="1285" spans="1:6" ht="30" customHeight="1">
      <c r="A1285" s="7">
        <v>1283</v>
      </c>
      <c r="B1285" s="7" t="str">
        <f>"34542021112422430552825"</f>
        <v>34542021112422430552825</v>
      </c>
      <c r="C1285" s="7" t="s">
        <v>17</v>
      </c>
      <c r="D1285" s="7" t="str">
        <f>"羊井月"</f>
        <v>羊井月</v>
      </c>
      <c r="E1285" s="7" t="str">
        <f t="shared" si="94"/>
        <v>女</v>
      </c>
      <c r="F1285" s="7"/>
    </row>
    <row r="1286" spans="1:6" ht="30" customHeight="1">
      <c r="A1286" s="7">
        <v>1284</v>
      </c>
      <c r="B1286" s="7" t="str">
        <f>"34542021112422493852827"</f>
        <v>34542021112422493852827</v>
      </c>
      <c r="C1286" s="7" t="s">
        <v>17</v>
      </c>
      <c r="D1286" s="7" t="str">
        <f>"金万宣"</f>
        <v>金万宣</v>
      </c>
      <c r="E1286" s="7" t="str">
        <f t="shared" si="94"/>
        <v>女</v>
      </c>
      <c r="F1286" s="7"/>
    </row>
    <row r="1287" spans="1:6" ht="30" customHeight="1">
      <c r="A1287" s="7">
        <v>1285</v>
      </c>
      <c r="B1287" s="7" t="str">
        <f>"34542021112422504052828"</f>
        <v>34542021112422504052828</v>
      </c>
      <c r="C1287" s="7" t="s">
        <v>17</v>
      </c>
      <c r="D1287" s="7" t="str">
        <f>"董春柳"</f>
        <v>董春柳</v>
      </c>
      <c r="E1287" s="7" t="str">
        <f t="shared" si="94"/>
        <v>女</v>
      </c>
      <c r="F1287" s="7"/>
    </row>
    <row r="1288" spans="1:6" ht="30" customHeight="1">
      <c r="A1288" s="7">
        <v>1286</v>
      </c>
      <c r="B1288" s="7" t="str">
        <f>"34542021112422540752829"</f>
        <v>34542021112422540752829</v>
      </c>
      <c r="C1288" s="7" t="s">
        <v>17</v>
      </c>
      <c r="D1288" s="7" t="str">
        <f>"周有坤"</f>
        <v>周有坤</v>
      </c>
      <c r="E1288" s="7" t="str">
        <f t="shared" si="94"/>
        <v>女</v>
      </c>
      <c r="F1288" s="7"/>
    </row>
    <row r="1289" spans="1:6" ht="30" customHeight="1">
      <c r="A1289" s="7">
        <v>1287</v>
      </c>
      <c r="B1289" s="7" t="str">
        <f>"34542021112423042352832"</f>
        <v>34542021112423042352832</v>
      </c>
      <c r="C1289" s="7" t="s">
        <v>17</v>
      </c>
      <c r="D1289" s="7" t="str">
        <f>"吴金花"</f>
        <v>吴金花</v>
      </c>
      <c r="E1289" s="7" t="str">
        <f t="shared" si="94"/>
        <v>女</v>
      </c>
      <c r="F1289" s="7"/>
    </row>
    <row r="1290" spans="1:6" ht="30" customHeight="1">
      <c r="A1290" s="7">
        <v>1288</v>
      </c>
      <c r="B1290" s="7" t="str">
        <f>"34542021112423133052837"</f>
        <v>34542021112423133052837</v>
      </c>
      <c r="C1290" s="7" t="s">
        <v>17</v>
      </c>
      <c r="D1290" s="7" t="str">
        <f>"羊小娥"</f>
        <v>羊小娥</v>
      </c>
      <c r="E1290" s="7" t="str">
        <f t="shared" si="94"/>
        <v>女</v>
      </c>
      <c r="F1290" s="7"/>
    </row>
    <row r="1291" spans="1:6" ht="30" customHeight="1">
      <c r="A1291" s="7">
        <v>1289</v>
      </c>
      <c r="B1291" s="7" t="str">
        <f>"34542021112423193252839"</f>
        <v>34542021112423193252839</v>
      </c>
      <c r="C1291" s="7" t="s">
        <v>17</v>
      </c>
      <c r="D1291" s="7" t="str">
        <f>"薛仁爱"</f>
        <v>薛仁爱</v>
      </c>
      <c r="E1291" s="7" t="str">
        <f t="shared" si="94"/>
        <v>女</v>
      </c>
      <c r="F1291" s="7"/>
    </row>
    <row r="1292" spans="1:6" ht="30" customHeight="1">
      <c r="A1292" s="7">
        <v>1290</v>
      </c>
      <c r="B1292" s="7" t="str">
        <f>"34542021112423253252842"</f>
        <v>34542021112423253252842</v>
      </c>
      <c r="C1292" s="7" t="s">
        <v>17</v>
      </c>
      <c r="D1292" s="7" t="str">
        <f>"张才惠"</f>
        <v>张才惠</v>
      </c>
      <c r="E1292" s="7" t="str">
        <f t="shared" si="94"/>
        <v>女</v>
      </c>
      <c r="F1292" s="7"/>
    </row>
    <row r="1293" spans="1:6" ht="30" customHeight="1">
      <c r="A1293" s="7">
        <v>1291</v>
      </c>
      <c r="B1293" s="7" t="str">
        <f>"34542021112423284352844"</f>
        <v>34542021112423284352844</v>
      </c>
      <c r="C1293" s="7" t="s">
        <v>17</v>
      </c>
      <c r="D1293" s="7" t="str">
        <f>"黎丽珍"</f>
        <v>黎丽珍</v>
      </c>
      <c r="E1293" s="7" t="str">
        <f t="shared" si="94"/>
        <v>女</v>
      </c>
      <c r="F1293" s="7"/>
    </row>
    <row r="1294" spans="1:6" ht="30" customHeight="1">
      <c r="A1294" s="7">
        <v>1292</v>
      </c>
      <c r="B1294" s="7" t="str">
        <f>"34542021112423434752849"</f>
        <v>34542021112423434752849</v>
      </c>
      <c r="C1294" s="7" t="s">
        <v>17</v>
      </c>
      <c r="D1294" s="7" t="str">
        <f>"王小妹"</f>
        <v>王小妹</v>
      </c>
      <c r="E1294" s="7" t="str">
        <f t="shared" si="94"/>
        <v>女</v>
      </c>
      <c r="F1294" s="7"/>
    </row>
    <row r="1295" spans="1:6" ht="30" customHeight="1">
      <c r="A1295" s="7">
        <v>1293</v>
      </c>
      <c r="B1295" s="7" t="str">
        <f>"34542021112423523052851"</f>
        <v>34542021112423523052851</v>
      </c>
      <c r="C1295" s="7" t="s">
        <v>17</v>
      </c>
      <c r="D1295" s="7" t="str">
        <f>"程金红"</f>
        <v>程金红</v>
      </c>
      <c r="E1295" s="7" t="str">
        <f t="shared" si="94"/>
        <v>女</v>
      </c>
      <c r="F1295" s="7"/>
    </row>
    <row r="1296" spans="1:6" ht="30" customHeight="1">
      <c r="A1296" s="7">
        <v>1294</v>
      </c>
      <c r="B1296" s="7" t="str">
        <f>"34542021112500375652856"</f>
        <v>34542021112500375652856</v>
      </c>
      <c r="C1296" s="7" t="s">
        <v>17</v>
      </c>
      <c r="D1296" s="7" t="str">
        <f>"陈善霞"</f>
        <v>陈善霞</v>
      </c>
      <c r="E1296" s="7" t="str">
        <f t="shared" si="94"/>
        <v>女</v>
      </c>
      <c r="F1296" s="7"/>
    </row>
    <row r="1297" spans="1:6" ht="30" customHeight="1">
      <c r="A1297" s="7">
        <v>1295</v>
      </c>
      <c r="B1297" s="7" t="str">
        <f>"34542021112500485152858"</f>
        <v>34542021112500485152858</v>
      </c>
      <c r="C1297" s="7" t="s">
        <v>17</v>
      </c>
      <c r="D1297" s="7" t="str">
        <f>"李毅霞"</f>
        <v>李毅霞</v>
      </c>
      <c r="E1297" s="7" t="str">
        <f t="shared" si="94"/>
        <v>女</v>
      </c>
      <c r="F1297" s="7"/>
    </row>
    <row r="1298" spans="1:6" ht="30" customHeight="1">
      <c r="A1298" s="7">
        <v>1296</v>
      </c>
      <c r="B1298" s="7" t="str">
        <f>"34542021112501162052859"</f>
        <v>34542021112501162052859</v>
      </c>
      <c r="C1298" s="7" t="s">
        <v>17</v>
      </c>
      <c r="D1298" s="7" t="str">
        <f>"黎小美"</f>
        <v>黎小美</v>
      </c>
      <c r="E1298" s="7" t="str">
        <f t="shared" si="94"/>
        <v>女</v>
      </c>
      <c r="F1298" s="7"/>
    </row>
    <row r="1299" spans="1:6" ht="30" customHeight="1">
      <c r="A1299" s="7">
        <v>1297</v>
      </c>
      <c r="B1299" s="7" t="str">
        <f>"34542021112501510952860"</f>
        <v>34542021112501510952860</v>
      </c>
      <c r="C1299" s="7" t="s">
        <v>17</v>
      </c>
      <c r="D1299" s="7" t="str">
        <f>"李艳岚"</f>
        <v>李艳岚</v>
      </c>
      <c r="E1299" s="7" t="str">
        <f t="shared" si="94"/>
        <v>女</v>
      </c>
      <c r="F1299" s="7"/>
    </row>
    <row r="1300" spans="1:6" ht="30" customHeight="1">
      <c r="A1300" s="7">
        <v>1298</v>
      </c>
      <c r="B1300" s="7" t="str">
        <f>"34542021112502430252863"</f>
        <v>34542021112502430252863</v>
      </c>
      <c r="C1300" s="7" t="s">
        <v>17</v>
      </c>
      <c r="D1300" s="7" t="str">
        <f>"薛姑美"</f>
        <v>薛姑美</v>
      </c>
      <c r="E1300" s="7" t="str">
        <f t="shared" si="94"/>
        <v>女</v>
      </c>
      <c r="F1300" s="7"/>
    </row>
    <row r="1301" spans="1:6" ht="30" customHeight="1">
      <c r="A1301" s="7">
        <v>1299</v>
      </c>
      <c r="B1301" s="7" t="str">
        <f>"34542021112503590252864"</f>
        <v>34542021112503590252864</v>
      </c>
      <c r="C1301" s="7" t="s">
        <v>17</v>
      </c>
      <c r="D1301" s="7" t="str">
        <f>"符嘉娥"</f>
        <v>符嘉娥</v>
      </c>
      <c r="E1301" s="7" t="str">
        <f t="shared" si="94"/>
        <v>女</v>
      </c>
      <c r="F1301" s="7"/>
    </row>
    <row r="1302" spans="1:6" ht="30" customHeight="1">
      <c r="A1302" s="7">
        <v>1300</v>
      </c>
      <c r="B1302" s="7" t="str">
        <f>"34542021112508051252869"</f>
        <v>34542021112508051252869</v>
      </c>
      <c r="C1302" s="7" t="s">
        <v>17</v>
      </c>
      <c r="D1302" s="7" t="str">
        <f>"郑虹"</f>
        <v>郑虹</v>
      </c>
      <c r="E1302" s="7" t="str">
        <f t="shared" si="94"/>
        <v>女</v>
      </c>
      <c r="F1302" s="7"/>
    </row>
    <row r="1303" spans="1:6" ht="30" customHeight="1">
      <c r="A1303" s="7">
        <v>1301</v>
      </c>
      <c r="B1303" s="7" t="str">
        <f>"34542021112508563252884"</f>
        <v>34542021112508563252884</v>
      </c>
      <c r="C1303" s="7" t="s">
        <v>17</v>
      </c>
      <c r="D1303" s="7" t="str">
        <f>"符交"</f>
        <v>符交</v>
      </c>
      <c r="E1303" s="7" t="str">
        <f t="shared" si="94"/>
        <v>女</v>
      </c>
      <c r="F1303" s="7"/>
    </row>
    <row r="1304" spans="1:6" ht="30" customHeight="1">
      <c r="A1304" s="7">
        <v>1302</v>
      </c>
      <c r="B1304" s="7" t="str">
        <f>"34542021112509153152889"</f>
        <v>34542021112509153152889</v>
      </c>
      <c r="C1304" s="7" t="s">
        <v>17</v>
      </c>
      <c r="D1304" s="7" t="str">
        <f>"黄萍"</f>
        <v>黄萍</v>
      </c>
      <c r="E1304" s="7" t="str">
        <f t="shared" si="94"/>
        <v>女</v>
      </c>
      <c r="F1304" s="7"/>
    </row>
    <row r="1305" spans="1:6" ht="30" customHeight="1">
      <c r="A1305" s="7">
        <v>1303</v>
      </c>
      <c r="B1305" s="7" t="str">
        <f>"34542021112509281952895"</f>
        <v>34542021112509281952895</v>
      </c>
      <c r="C1305" s="7" t="s">
        <v>17</v>
      </c>
      <c r="D1305" s="7" t="str">
        <f>"陈有玲"</f>
        <v>陈有玲</v>
      </c>
      <c r="E1305" s="7" t="str">
        <f aca="true" t="shared" si="95" ref="E1305:E1317">"女"</f>
        <v>女</v>
      </c>
      <c r="F1305" s="7"/>
    </row>
    <row r="1306" spans="1:6" ht="30" customHeight="1">
      <c r="A1306" s="7">
        <v>1304</v>
      </c>
      <c r="B1306" s="7" t="str">
        <f>"34542021112509320752899"</f>
        <v>34542021112509320752899</v>
      </c>
      <c r="C1306" s="7" t="s">
        <v>17</v>
      </c>
      <c r="D1306" s="7" t="str">
        <f>"黎秀菊"</f>
        <v>黎秀菊</v>
      </c>
      <c r="E1306" s="7" t="str">
        <f t="shared" si="95"/>
        <v>女</v>
      </c>
      <c r="F1306" s="7"/>
    </row>
    <row r="1307" spans="1:6" ht="30" customHeight="1">
      <c r="A1307" s="7">
        <v>1305</v>
      </c>
      <c r="B1307" s="7" t="str">
        <f>"34542021112510005952911"</f>
        <v>34542021112510005952911</v>
      </c>
      <c r="C1307" s="7" t="s">
        <v>17</v>
      </c>
      <c r="D1307" s="7" t="str">
        <f>"王开艳"</f>
        <v>王开艳</v>
      </c>
      <c r="E1307" s="7" t="str">
        <f t="shared" si="95"/>
        <v>女</v>
      </c>
      <c r="F1307" s="7"/>
    </row>
    <row r="1308" spans="1:6" ht="30" customHeight="1">
      <c r="A1308" s="7">
        <v>1306</v>
      </c>
      <c r="B1308" s="7" t="str">
        <f>"34542021112510141352913"</f>
        <v>34542021112510141352913</v>
      </c>
      <c r="C1308" s="7" t="s">
        <v>17</v>
      </c>
      <c r="D1308" s="7" t="str">
        <f>"王丕丹"</f>
        <v>王丕丹</v>
      </c>
      <c r="E1308" s="7" t="str">
        <f t="shared" si="95"/>
        <v>女</v>
      </c>
      <c r="F1308" s="7"/>
    </row>
    <row r="1309" spans="1:6" ht="30" customHeight="1">
      <c r="A1309" s="7">
        <v>1307</v>
      </c>
      <c r="B1309" s="7" t="str">
        <f>"34542021112510210352918"</f>
        <v>34542021112510210352918</v>
      </c>
      <c r="C1309" s="7" t="s">
        <v>17</v>
      </c>
      <c r="D1309" s="7" t="str">
        <f>"陈道燕"</f>
        <v>陈道燕</v>
      </c>
      <c r="E1309" s="7" t="str">
        <f t="shared" si="95"/>
        <v>女</v>
      </c>
      <c r="F1309" s="7"/>
    </row>
    <row r="1310" spans="1:6" ht="30" customHeight="1">
      <c r="A1310" s="7">
        <v>1308</v>
      </c>
      <c r="B1310" s="7" t="str">
        <f>"34542021112510215252919"</f>
        <v>34542021112510215252919</v>
      </c>
      <c r="C1310" s="7" t="s">
        <v>17</v>
      </c>
      <c r="D1310" s="7" t="str">
        <f>"黎爱花"</f>
        <v>黎爱花</v>
      </c>
      <c r="E1310" s="7" t="str">
        <f t="shared" si="95"/>
        <v>女</v>
      </c>
      <c r="F1310" s="7"/>
    </row>
    <row r="1311" spans="1:6" ht="30" customHeight="1">
      <c r="A1311" s="7">
        <v>1309</v>
      </c>
      <c r="B1311" s="7" t="str">
        <f>"34542021112510250952920"</f>
        <v>34542021112510250952920</v>
      </c>
      <c r="C1311" s="7" t="s">
        <v>17</v>
      </c>
      <c r="D1311" s="7" t="str">
        <f>"许中笠"</f>
        <v>许中笠</v>
      </c>
      <c r="E1311" s="7" t="str">
        <f t="shared" si="95"/>
        <v>女</v>
      </c>
      <c r="F1311" s="7"/>
    </row>
    <row r="1312" spans="1:6" ht="30" customHeight="1">
      <c r="A1312" s="7">
        <v>1310</v>
      </c>
      <c r="B1312" s="7" t="str">
        <f>"34542021112510295752923"</f>
        <v>34542021112510295752923</v>
      </c>
      <c r="C1312" s="7" t="s">
        <v>17</v>
      </c>
      <c r="D1312" s="7" t="str">
        <f>"符伟花"</f>
        <v>符伟花</v>
      </c>
      <c r="E1312" s="7" t="str">
        <f t="shared" si="95"/>
        <v>女</v>
      </c>
      <c r="F1312" s="7"/>
    </row>
    <row r="1313" spans="1:6" ht="30" customHeight="1">
      <c r="A1313" s="7">
        <v>1311</v>
      </c>
      <c r="B1313" s="7" t="str">
        <f>"34542021112510315252924"</f>
        <v>34542021112510315252924</v>
      </c>
      <c r="C1313" s="7" t="s">
        <v>17</v>
      </c>
      <c r="D1313" s="7" t="str">
        <f>"陈石丽"</f>
        <v>陈石丽</v>
      </c>
      <c r="E1313" s="7" t="str">
        <f t="shared" si="95"/>
        <v>女</v>
      </c>
      <c r="F1313" s="7"/>
    </row>
    <row r="1314" spans="1:6" ht="30" customHeight="1">
      <c r="A1314" s="7">
        <v>1312</v>
      </c>
      <c r="B1314" s="7" t="str">
        <f>"34542021112510480152931"</f>
        <v>34542021112510480152931</v>
      </c>
      <c r="C1314" s="7" t="s">
        <v>17</v>
      </c>
      <c r="D1314" s="7" t="str">
        <f>"羊以桂"</f>
        <v>羊以桂</v>
      </c>
      <c r="E1314" s="7" t="str">
        <f t="shared" si="95"/>
        <v>女</v>
      </c>
      <c r="F1314" s="7"/>
    </row>
    <row r="1315" spans="1:6" ht="30" customHeight="1">
      <c r="A1315" s="7">
        <v>1313</v>
      </c>
      <c r="B1315" s="7" t="str">
        <f>"34542021112511065852935"</f>
        <v>34542021112511065852935</v>
      </c>
      <c r="C1315" s="7" t="s">
        <v>17</v>
      </c>
      <c r="D1315" s="7" t="str">
        <f>"羊菊秋"</f>
        <v>羊菊秋</v>
      </c>
      <c r="E1315" s="7" t="str">
        <f t="shared" si="95"/>
        <v>女</v>
      </c>
      <c r="F1315" s="7"/>
    </row>
    <row r="1316" spans="1:6" ht="30" customHeight="1">
      <c r="A1316" s="7">
        <v>1314</v>
      </c>
      <c r="B1316" s="7" t="str">
        <f>"34542021112511173252939"</f>
        <v>34542021112511173252939</v>
      </c>
      <c r="C1316" s="7" t="s">
        <v>17</v>
      </c>
      <c r="D1316" s="7" t="str">
        <f>"符仲嫦"</f>
        <v>符仲嫦</v>
      </c>
      <c r="E1316" s="7" t="str">
        <f t="shared" si="95"/>
        <v>女</v>
      </c>
      <c r="F1316" s="7"/>
    </row>
    <row r="1317" spans="1:6" ht="30" customHeight="1">
      <c r="A1317" s="7">
        <v>1315</v>
      </c>
      <c r="B1317" s="7" t="str">
        <f>"34542021112511263552943"</f>
        <v>34542021112511263552943</v>
      </c>
      <c r="C1317" s="7" t="s">
        <v>17</v>
      </c>
      <c r="D1317" s="7" t="str">
        <f>"符二妹"</f>
        <v>符二妹</v>
      </c>
      <c r="E1317" s="7" t="str">
        <f t="shared" si="95"/>
        <v>女</v>
      </c>
      <c r="F1317" s="7"/>
    </row>
    <row r="1318" spans="1:6" ht="30" customHeight="1">
      <c r="A1318" s="7">
        <v>1316</v>
      </c>
      <c r="B1318" s="7" t="str">
        <f>"34542021112511351152949"</f>
        <v>34542021112511351152949</v>
      </c>
      <c r="C1318" s="7" t="s">
        <v>17</v>
      </c>
      <c r="D1318" s="7" t="str">
        <f>"张伟候"</f>
        <v>张伟候</v>
      </c>
      <c r="E1318" s="7" t="str">
        <f>"男"</f>
        <v>男</v>
      </c>
      <c r="F1318" s="7"/>
    </row>
    <row r="1319" spans="1:6" ht="30" customHeight="1">
      <c r="A1319" s="7">
        <v>1317</v>
      </c>
      <c r="B1319" s="7" t="str">
        <f>"34542021112511373652951"</f>
        <v>34542021112511373652951</v>
      </c>
      <c r="C1319" s="7" t="s">
        <v>17</v>
      </c>
      <c r="D1319" s="7" t="str">
        <f>"吴丹英"</f>
        <v>吴丹英</v>
      </c>
      <c r="E1319" s="7" t="str">
        <f>"女"</f>
        <v>女</v>
      </c>
      <c r="F1319" s="7"/>
    </row>
    <row r="1320" spans="1:6" ht="30" customHeight="1">
      <c r="A1320" s="7">
        <v>1318</v>
      </c>
      <c r="B1320" s="7" t="str">
        <f>"34542021112511385852952"</f>
        <v>34542021112511385852952</v>
      </c>
      <c r="C1320" s="7" t="s">
        <v>17</v>
      </c>
      <c r="D1320" s="7" t="str">
        <f>"杨军逢"</f>
        <v>杨军逢</v>
      </c>
      <c r="E1320" s="7" t="str">
        <f>"女"</f>
        <v>女</v>
      </c>
      <c r="F1320" s="7"/>
    </row>
    <row r="1321" spans="1:6" ht="30" customHeight="1">
      <c r="A1321" s="7">
        <v>1319</v>
      </c>
      <c r="B1321" s="7" t="str">
        <f>"34542021112511423052953"</f>
        <v>34542021112511423052953</v>
      </c>
      <c r="C1321" s="7" t="s">
        <v>17</v>
      </c>
      <c r="D1321" s="7" t="str">
        <f>"吴小敏"</f>
        <v>吴小敏</v>
      </c>
      <c r="E1321" s="7" t="str">
        <f>"女"</f>
        <v>女</v>
      </c>
      <c r="F1321" s="7"/>
    </row>
    <row r="1322" spans="1:6" ht="30" customHeight="1">
      <c r="A1322" s="7">
        <v>1320</v>
      </c>
      <c r="B1322" s="7" t="str">
        <f>"34542021112511450552954"</f>
        <v>34542021112511450552954</v>
      </c>
      <c r="C1322" s="7" t="s">
        <v>17</v>
      </c>
      <c r="D1322" s="7" t="str">
        <f>"吴秀花"</f>
        <v>吴秀花</v>
      </c>
      <c r="E1322" s="7" t="str">
        <f>"女"</f>
        <v>女</v>
      </c>
      <c r="F1322" s="7"/>
    </row>
    <row r="1323" spans="1:6" ht="30" customHeight="1">
      <c r="A1323" s="7">
        <v>1321</v>
      </c>
      <c r="B1323" s="7" t="str">
        <f>"34542021111909355150478"</f>
        <v>34542021111909355150478</v>
      </c>
      <c r="C1323" s="7" t="s">
        <v>19</v>
      </c>
      <c r="D1323" s="7" t="str">
        <f>"叶椿圣"</f>
        <v>叶椿圣</v>
      </c>
      <c r="E1323" s="7" t="str">
        <f>"男"</f>
        <v>男</v>
      </c>
      <c r="F1323" s="7"/>
    </row>
    <row r="1324" spans="1:6" ht="30" customHeight="1">
      <c r="A1324" s="7">
        <v>1322</v>
      </c>
      <c r="B1324" s="7" t="str">
        <f>"34542021111910022650519"</f>
        <v>34542021111910022650519</v>
      </c>
      <c r="C1324" s="7" t="s">
        <v>19</v>
      </c>
      <c r="D1324" s="7" t="str">
        <f>"李香"</f>
        <v>李香</v>
      </c>
      <c r="E1324" s="7" t="str">
        <f>"女"</f>
        <v>女</v>
      </c>
      <c r="F1324" s="7"/>
    </row>
    <row r="1325" spans="1:6" ht="30" customHeight="1">
      <c r="A1325" s="7">
        <v>1323</v>
      </c>
      <c r="B1325" s="7" t="str">
        <f>"34542021111910112050534"</f>
        <v>34542021111910112050534</v>
      </c>
      <c r="C1325" s="7" t="s">
        <v>19</v>
      </c>
      <c r="D1325" s="7" t="str">
        <f>"李嘉雯"</f>
        <v>李嘉雯</v>
      </c>
      <c r="E1325" s="7" t="str">
        <f>"女"</f>
        <v>女</v>
      </c>
      <c r="F1325" s="7"/>
    </row>
    <row r="1326" spans="1:6" ht="30" customHeight="1">
      <c r="A1326" s="7">
        <v>1324</v>
      </c>
      <c r="B1326" s="7" t="str">
        <f>"34542021111910211950548"</f>
        <v>34542021111910211950548</v>
      </c>
      <c r="C1326" s="7" t="s">
        <v>19</v>
      </c>
      <c r="D1326" s="7" t="str">
        <f>"吴卓盈"</f>
        <v>吴卓盈</v>
      </c>
      <c r="E1326" s="7" t="str">
        <f>"女"</f>
        <v>女</v>
      </c>
      <c r="F1326" s="7"/>
    </row>
    <row r="1327" spans="1:6" ht="30" customHeight="1">
      <c r="A1327" s="7">
        <v>1325</v>
      </c>
      <c r="B1327" s="7" t="str">
        <f>"34542021111910365850571"</f>
        <v>34542021111910365850571</v>
      </c>
      <c r="C1327" s="7" t="s">
        <v>19</v>
      </c>
      <c r="D1327" s="7" t="str">
        <f>"郑慧丹"</f>
        <v>郑慧丹</v>
      </c>
      <c r="E1327" s="7" t="str">
        <f>"女"</f>
        <v>女</v>
      </c>
      <c r="F1327" s="7"/>
    </row>
    <row r="1328" spans="1:6" ht="30" customHeight="1">
      <c r="A1328" s="7">
        <v>1326</v>
      </c>
      <c r="B1328" s="7" t="str">
        <f>"34542021111911014550611"</f>
        <v>34542021111911014550611</v>
      </c>
      <c r="C1328" s="7" t="s">
        <v>19</v>
      </c>
      <c r="D1328" s="7" t="str">
        <f>"陆克欣"</f>
        <v>陆克欣</v>
      </c>
      <c r="E1328" s="7" t="str">
        <f>"男"</f>
        <v>男</v>
      </c>
      <c r="F1328" s="7"/>
    </row>
    <row r="1329" spans="1:6" ht="30" customHeight="1">
      <c r="A1329" s="7">
        <v>1327</v>
      </c>
      <c r="B1329" s="7" t="str">
        <f>"34542021111911144850627"</f>
        <v>34542021111911144850627</v>
      </c>
      <c r="C1329" s="7" t="s">
        <v>19</v>
      </c>
      <c r="D1329" s="7" t="str">
        <f>"段文菲"</f>
        <v>段文菲</v>
      </c>
      <c r="E1329" s="7" t="str">
        <f>"女"</f>
        <v>女</v>
      </c>
      <c r="F1329" s="7"/>
    </row>
    <row r="1330" spans="1:6" ht="30" customHeight="1">
      <c r="A1330" s="7">
        <v>1328</v>
      </c>
      <c r="B1330" s="7" t="str">
        <f>"34542021111911182450630"</f>
        <v>34542021111911182450630</v>
      </c>
      <c r="C1330" s="7" t="s">
        <v>19</v>
      </c>
      <c r="D1330" s="7" t="str">
        <f>"郑美红"</f>
        <v>郑美红</v>
      </c>
      <c r="E1330" s="7" t="str">
        <f>"女"</f>
        <v>女</v>
      </c>
      <c r="F1330" s="7"/>
    </row>
    <row r="1331" spans="1:6" ht="30" customHeight="1">
      <c r="A1331" s="7">
        <v>1329</v>
      </c>
      <c r="B1331" s="7" t="str">
        <f>"34542021111911245250641"</f>
        <v>34542021111911245250641</v>
      </c>
      <c r="C1331" s="7" t="s">
        <v>19</v>
      </c>
      <c r="D1331" s="7" t="str">
        <f>"李慧莉"</f>
        <v>李慧莉</v>
      </c>
      <c r="E1331" s="7" t="str">
        <f>"女"</f>
        <v>女</v>
      </c>
      <c r="F1331" s="7"/>
    </row>
    <row r="1332" spans="1:6" ht="30" customHeight="1">
      <c r="A1332" s="7">
        <v>1330</v>
      </c>
      <c r="B1332" s="7" t="str">
        <f>"34542021111911292750647"</f>
        <v>34542021111911292750647</v>
      </c>
      <c r="C1332" s="7" t="s">
        <v>19</v>
      </c>
      <c r="D1332" s="7" t="str">
        <f>"王井德"</f>
        <v>王井德</v>
      </c>
      <c r="E1332" s="7" t="str">
        <f>"女"</f>
        <v>女</v>
      </c>
      <c r="F1332" s="7"/>
    </row>
    <row r="1333" spans="1:6" ht="30" customHeight="1">
      <c r="A1333" s="7">
        <v>1331</v>
      </c>
      <c r="B1333" s="7" t="str">
        <f>"34542021111911355850661"</f>
        <v>34542021111911355850661</v>
      </c>
      <c r="C1333" s="7" t="s">
        <v>19</v>
      </c>
      <c r="D1333" s="7" t="str">
        <f>"郑芳"</f>
        <v>郑芳</v>
      </c>
      <c r="E1333" s="7" t="str">
        <f>"女"</f>
        <v>女</v>
      </c>
      <c r="F1333" s="7"/>
    </row>
    <row r="1334" spans="1:6" ht="30" customHeight="1">
      <c r="A1334" s="7">
        <v>1332</v>
      </c>
      <c r="B1334" s="7" t="str">
        <f>"34542021111912111750693"</f>
        <v>34542021111912111750693</v>
      </c>
      <c r="C1334" s="7" t="s">
        <v>19</v>
      </c>
      <c r="D1334" s="7" t="str">
        <f>"郑志阳"</f>
        <v>郑志阳</v>
      </c>
      <c r="E1334" s="7" t="str">
        <f>"男"</f>
        <v>男</v>
      </c>
      <c r="F1334" s="7"/>
    </row>
    <row r="1335" spans="1:6" ht="30" customHeight="1">
      <c r="A1335" s="7">
        <v>1333</v>
      </c>
      <c r="B1335" s="7" t="str">
        <f>"34542021111912155250696"</f>
        <v>34542021111912155250696</v>
      </c>
      <c r="C1335" s="7" t="s">
        <v>19</v>
      </c>
      <c r="D1335" s="7" t="str">
        <f>"陈是丰"</f>
        <v>陈是丰</v>
      </c>
      <c r="E1335" s="7" t="str">
        <f>"男"</f>
        <v>男</v>
      </c>
      <c r="F1335" s="7"/>
    </row>
    <row r="1336" spans="1:6" ht="30" customHeight="1">
      <c r="A1336" s="7">
        <v>1334</v>
      </c>
      <c r="B1336" s="7" t="str">
        <f>"34542021111912261150709"</f>
        <v>34542021111912261150709</v>
      </c>
      <c r="C1336" s="7" t="s">
        <v>19</v>
      </c>
      <c r="D1336" s="7" t="str">
        <f>"曾学翠"</f>
        <v>曾学翠</v>
      </c>
      <c r="E1336" s="7" t="str">
        <f>"女"</f>
        <v>女</v>
      </c>
      <c r="F1336" s="7"/>
    </row>
    <row r="1337" spans="1:6" ht="30" customHeight="1">
      <c r="A1337" s="7">
        <v>1335</v>
      </c>
      <c r="B1337" s="7" t="str">
        <f>"34542021111913331850756"</f>
        <v>34542021111913331850756</v>
      </c>
      <c r="C1337" s="7" t="s">
        <v>19</v>
      </c>
      <c r="D1337" s="7" t="str">
        <f>"汤运球"</f>
        <v>汤运球</v>
      </c>
      <c r="E1337" s="7" t="str">
        <f>"男"</f>
        <v>男</v>
      </c>
      <c r="F1337" s="7"/>
    </row>
    <row r="1338" spans="1:6" ht="30" customHeight="1">
      <c r="A1338" s="7">
        <v>1336</v>
      </c>
      <c r="B1338" s="7" t="str">
        <f>"34542021111914021450782"</f>
        <v>34542021111914021450782</v>
      </c>
      <c r="C1338" s="7" t="s">
        <v>19</v>
      </c>
      <c r="D1338" s="7" t="str">
        <f>"符石鹏"</f>
        <v>符石鹏</v>
      </c>
      <c r="E1338" s="7" t="str">
        <f aca="true" t="shared" si="96" ref="E1338:E1349">"女"</f>
        <v>女</v>
      </c>
      <c r="F1338" s="7"/>
    </row>
    <row r="1339" spans="1:6" ht="30" customHeight="1">
      <c r="A1339" s="7">
        <v>1337</v>
      </c>
      <c r="B1339" s="7" t="str">
        <f>"34542021111914274550799"</f>
        <v>34542021111914274550799</v>
      </c>
      <c r="C1339" s="7" t="s">
        <v>19</v>
      </c>
      <c r="D1339" s="7" t="str">
        <f>"郑丽慧"</f>
        <v>郑丽慧</v>
      </c>
      <c r="E1339" s="7" t="str">
        <f t="shared" si="96"/>
        <v>女</v>
      </c>
      <c r="F1339" s="7"/>
    </row>
    <row r="1340" spans="1:6" ht="30" customHeight="1">
      <c r="A1340" s="7">
        <v>1338</v>
      </c>
      <c r="B1340" s="7" t="str">
        <f>"34542021111914312950802"</f>
        <v>34542021111914312950802</v>
      </c>
      <c r="C1340" s="7" t="s">
        <v>19</v>
      </c>
      <c r="D1340" s="7" t="str">
        <f>"苏井美"</f>
        <v>苏井美</v>
      </c>
      <c r="E1340" s="7" t="str">
        <f t="shared" si="96"/>
        <v>女</v>
      </c>
      <c r="F1340" s="7"/>
    </row>
    <row r="1341" spans="1:6" ht="30" customHeight="1">
      <c r="A1341" s="7">
        <v>1339</v>
      </c>
      <c r="B1341" s="7" t="str">
        <f>"34542021111915093750828"</f>
        <v>34542021111915093750828</v>
      </c>
      <c r="C1341" s="7" t="s">
        <v>19</v>
      </c>
      <c r="D1341" s="7" t="str">
        <f>"吴儒坤"</f>
        <v>吴儒坤</v>
      </c>
      <c r="E1341" s="7" t="str">
        <f t="shared" si="96"/>
        <v>女</v>
      </c>
      <c r="F1341" s="7"/>
    </row>
    <row r="1342" spans="1:6" ht="30" customHeight="1">
      <c r="A1342" s="7">
        <v>1340</v>
      </c>
      <c r="B1342" s="7" t="str">
        <f>"34542021111915185550839"</f>
        <v>34542021111915185550839</v>
      </c>
      <c r="C1342" s="7" t="s">
        <v>19</v>
      </c>
      <c r="D1342" s="7" t="str">
        <f>"曾令巧"</f>
        <v>曾令巧</v>
      </c>
      <c r="E1342" s="7" t="str">
        <f t="shared" si="96"/>
        <v>女</v>
      </c>
      <c r="F1342" s="7"/>
    </row>
    <row r="1343" spans="1:6" ht="30" customHeight="1">
      <c r="A1343" s="7">
        <v>1341</v>
      </c>
      <c r="B1343" s="7" t="str">
        <f>"34542021111916344350933"</f>
        <v>34542021111916344350933</v>
      </c>
      <c r="C1343" s="7" t="s">
        <v>19</v>
      </c>
      <c r="D1343" s="7" t="str">
        <f>"符文梅"</f>
        <v>符文梅</v>
      </c>
      <c r="E1343" s="7" t="str">
        <f t="shared" si="96"/>
        <v>女</v>
      </c>
      <c r="F1343" s="7"/>
    </row>
    <row r="1344" spans="1:6" ht="30" customHeight="1">
      <c r="A1344" s="7">
        <v>1342</v>
      </c>
      <c r="B1344" s="7" t="str">
        <f>"34542021111916585650957"</f>
        <v>34542021111916585650957</v>
      </c>
      <c r="C1344" s="7" t="s">
        <v>19</v>
      </c>
      <c r="D1344" s="7" t="str">
        <f>"谢必丽"</f>
        <v>谢必丽</v>
      </c>
      <c r="E1344" s="7" t="str">
        <f t="shared" si="96"/>
        <v>女</v>
      </c>
      <c r="F1344" s="7"/>
    </row>
    <row r="1345" spans="1:6" ht="30" customHeight="1">
      <c r="A1345" s="7">
        <v>1343</v>
      </c>
      <c r="B1345" s="7" t="str">
        <f>"34542021111917035050959"</f>
        <v>34542021111917035050959</v>
      </c>
      <c r="C1345" s="7" t="s">
        <v>19</v>
      </c>
      <c r="D1345" s="7" t="str">
        <f>"朱凤妹"</f>
        <v>朱凤妹</v>
      </c>
      <c r="E1345" s="7" t="str">
        <f t="shared" si="96"/>
        <v>女</v>
      </c>
      <c r="F1345" s="7"/>
    </row>
    <row r="1346" spans="1:6" ht="30" customHeight="1">
      <c r="A1346" s="7">
        <v>1344</v>
      </c>
      <c r="B1346" s="7" t="str">
        <f>"34542021111918122750984"</f>
        <v>34542021111918122750984</v>
      </c>
      <c r="C1346" s="7" t="s">
        <v>19</v>
      </c>
      <c r="D1346" s="7" t="str">
        <f>"吕美利"</f>
        <v>吕美利</v>
      </c>
      <c r="E1346" s="7" t="str">
        <f t="shared" si="96"/>
        <v>女</v>
      </c>
      <c r="F1346" s="7"/>
    </row>
    <row r="1347" spans="1:6" ht="30" customHeight="1">
      <c r="A1347" s="7">
        <v>1345</v>
      </c>
      <c r="B1347" s="7" t="str">
        <f>"34542021111919482651028"</f>
        <v>34542021111919482651028</v>
      </c>
      <c r="C1347" s="7" t="s">
        <v>19</v>
      </c>
      <c r="D1347" s="7" t="str">
        <f>"符梦雯"</f>
        <v>符梦雯</v>
      </c>
      <c r="E1347" s="7" t="str">
        <f t="shared" si="96"/>
        <v>女</v>
      </c>
      <c r="F1347" s="7"/>
    </row>
    <row r="1348" spans="1:6" ht="30" customHeight="1">
      <c r="A1348" s="7">
        <v>1346</v>
      </c>
      <c r="B1348" s="7" t="str">
        <f>"34542021111920110751039"</f>
        <v>34542021111920110751039</v>
      </c>
      <c r="C1348" s="7" t="s">
        <v>19</v>
      </c>
      <c r="D1348" s="7" t="str">
        <f>"梁振秀"</f>
        <v>梁振秀</v>
      </c>
      <c r="E1348" s="7" t="str">
        <f t="shared" si="96"/>
        <v>女</v>
      </c>
      <c r="F1348" s="7"/>
    </row>
    <row r="1349" spans="1:6" ht="30" customHeight="1">
      <c r="A1349" s="7">
        <v>1347</v>
      </c>
      <c r="B1349" s="7" t="str">
        <f>"34542021111921020351064"</f>
        <v>34542021111921020351064</v>
      </c>
      <c r="C1349" s="7" t="s">
        <v>19</v>
      </c>
      <c r="D1349" s="7" t="str">
        <f>"陈光美"</f>
        <v>陈光美</v>
      </c>
      <c r="E1349" s="7" t="str">
        <f t="shared" si="96"/>
        <v>女</v>
      </c>
      <c r="F1349" s="7"/>
    </row>
    <row r="1350" spans="1:6" ht="30" customHeight="1">
      <c r="A1350" s="7">
        <v>1348</v>
      </c>
      <c r="B1350" s="7" t="str">
        <f>"34542021111922495051119"</f>
        <v>34542021111922495051119</v>
      </c>
      <c r="C1350" s="7" t="s">
        <v>19</v>
      </c>
      <c r="D1350" s="7" t="str">
        <f>"麦精慧"</f>
        <v>麦精慧</v>
      </c>
      <c r="E1350" s="7" t="str">
        <f>"男"</f>
        <v>男</v>
      </c>
      <c r="F1350" s="7"/>
    </row>
    <row r="1351" spans="1:6" ht="30" customHeight="1">
      <c r="A1351" s="7">
        <v>1349</v>
      </c>
      <c r="B1351" s="7" t="str">
        <f>"34542021111922505351121"</f>
        <v>34542021111922505351121</v>
      </c>
      <c r="C1351" s="7" t="s">
        <v>19</v>
      </c>
      <c r="D1351" s="7" t="str">
        <f>"李晓康"</f>
        <v>李晓康</v>
      </c>
      <c r="E1351" s="7" t="str">
        <f>"男"</f>
        <v>男</v>
      </c>
      <c r="F1351" s="7"/>
    </row>
    <row r="1352" spans="1:6" ht="30" customHeight="1">
      <c r="A1352" s="7">
        <v>1350</v>
      </c>
      <c r="B1352" s="7" t="str">
        <f>"34542021112009411951168"</f>
        <v>34542021112009411951168</v>
      </c>
      <c r="C1352" s="7" t="s">
        <v>19</v>
      </c>
      <c r="D1352" s="7" t="str">
        <f>"何彩菊"</f>
        <v>何彩菊</v>
      </c>
      <c r="E1352" s="7" t="str">
        <f>"女"</f>
        <v>女</v>
      </c>
      <c r="F1352" s="7"/>
    </row>
    <row r="1353" spans="1:6" ht="30" customHeight="1">
      <c r="A1353" s="7">
        <v>1351</v>
      </c>
      <c r="B1353" s="7" t="str">
        <f>"34542021112011370551225"</f>
        <v>34542021112011370551225</v>
      </c>
      <c r="C1353" s="7" t="s">
        <v>19</v>
      </c>
      <c r="D1353" s="7" t="str">
        <f>"林赞姣"</f>
        <v>林赞姣</v>
      </c>
      <c r="E1353" s="7" t="str">
        <f>"女"</f>
        <v>女</v>
      </c>
      <c r="F1353" s="7"/>
    </row>
    <row r="1354" spans="1:6" ht="30" customHeight="1">
      <c r="A1354" s="7">
        <v>1352</v>
      </c>
      <c r="B1354" s="7" t="str">
        <f>"34542021112016220651313"</f>
        <v>34542021112016220651313</v>
      </c>
      <c r="C1354" s="7" t="s">
        <v>19</v>
      </c>
      <c r="D1354" s="7" t="str">
        <f>"林资裕"</f>
        <v>林资裕</v>
      </c>
      <c r="E1354" s="7" t="str">
        <f>"男"</f>
        <v>男</v>
      </c>
      <c r="F1354" s="7"/>
    </row>
    <row r="1355" spans="1:6" ht="30" customHeight="1">
      <c r="A1355" s="7">
        <v>1353</v>
      </c>
      <c r="B1355" s="7" t="str">
        <f>"34542021112018495051365"</f>
        <v>34542021112018495051365</v>
      </c>
      <c r="C1355" s="7" t="s">
        <v>19</v>
      </c>
      <c r="D1355" s="7" t="str">
        <f>"符小妹"</f>
        <v>符小妹</v>
      </c>
      <c r="E1355" s="7" t="str">
        <f>"女"</f>
        <v>女</v>
      </c>
      <c r="F1355" s="7"/>
    </row>
    <row r="1356" spans="1:6" ht="30" customHeight="1">
      <c r="A1356" s="7">
        <v>1354</v>
      </c>
      <c r="B1356" s="7" t="str">
        <f>"34542021112020293551389"</f>
        <v>34542021112020293551389</v>
      </c>
      <c r="C1356" s="7" t="s">
        <v>19</v>
      </c>
      <c r="D1356" s="7" t="str">
        <f>"李晓飞"</f>
        <v>李晓飞</v>
      </c>
      <c r="E1356" s="7" t="str">
        <f>"男"</f>
        <v>男</v>
      </c>
      <c r="F1356" s="7"/>
    </row>
    <row r="1357" spans="1:6" ht="30" customHeight="1">
      <c r="A1357" s="7">
        <v>1355</v>
      </c>
      <c r="B1357" s="7" t="str">
        <f>"34542021112020521751400"</f>
        <v>34542021112020521751400</v>
      </c>
      <c r="C1357" s="7" t="s">
        <v>19</v>
      </c>
      <c r="D1357" s="7" t="str">
        <f>"吴玉宝"</f>
        <v>吴玉宝</v>
      </c>
      <c r="E1357" s="7" t="str">
        <f>"男"</f>
        <v>男</v>
      </c>
      <c r="F1357" s="7"/>
    </row>
    <row r="1358" spans="1:6" ht="30" customHeight="1">
      <c r="A1358" s="7">
        <v>1356</v>
      </c>
      <c r="B1358" s="7" t="str">
        <f>"34542021112021265251413"</f>
        <v>34542021112021265251413</v>
      </c>
      <c r="C1358" s="7" t="s">
        <v>19</v>
      </c>
      <c r="D1358" s="7" t="str">
        <f>"唐侯娥"</f>
        <v>唐侯娥</v>
      </c>
      <c r="E1358" s="7" t="str">
        <f>"女"</f>
        <v>女</v>
      </c>
      <c r="F1358" s="7"/>
    </row>
    <row r="1359" spans="1:6" ht="30" customHeight="1">
      <c r="A1359" s="7">
        <v>1357</v>
      </c>
      <c r="B1359" s="7" t="str">
        <f>"34542021112021274151414"</f>
        <v>34542021112021274151414</v>
      </c>
      <c r="C1359" s="7" t="s">
        <v>19</v>
      </c>
      <c r="D1359" s="7" t="str">
        <f>"林园女"</f>
        <v>林园女</v>
      </c>
      <c r="E1359" s="7" t="str">
        <f>"女"</f>
        <v>女</v>
      </c>
      <c r="F1359" s="7"/>
    </row>
    <row r="1360" spans="1:6" ht="30" customHeight="1">
      <c r="A1360" s="7">
        <v>1358</v>
      </c>
      <c r="B1360" s="7" t="str">
        <f>"34542021112023252951449"</f>
        <v>34542021112023252951449</v>
      </c>
      <c r="C1360" s="7" t="s">
        <v>19</v>
      </c>
      <c r="D1360" s="7" t="str">
        <f>"王海萍"</f>
        <v>王海萍</v>
      </c>
      <c r="E1360" s="7" t="str">
        <f>"女"</f>
        <v>女</v>
      </c>
      <c r="F1360" s="7"/>
    </row>
    <row r="1361" spans="1:6" ht="30" customHeight="1">
      <c r="A1361" s="7">
        <v>1359</v>
      </c>
      <c r="B1361" s="7" t="str">
        <f>"34542021112117114751617"</f>
        <v>34542021112117114751617</v>
      </c>
      <c r="C1361" s="7" t="s">
        <v>19</v>
      </c>
      <c r="D1361" s="7" t="str">
        <f>"赵坚玲"</f>
        <v>赵坚玲</v>
      </c>
      <c r="E1361" s="7" t="str">
        <f>"女"</f>
        <v>女</v>
      </c>
      <c r="F1361" s="7"/>
    </row>
    <row r="1362" spans="1:6" ht="30" customHeight="1">
      <c r="A1362" s="7">
        <v>1360</v>
      </c>
      <c r="B1362" s="7" t="str">
        <f>"34542021112119092451652"</f>
        <v>34542021112119092451652</v>
      </c>
      <c r="C1362" s="7" t="s">
        <v>19</v>
      </c>
      <c r="D1362" s="7" t="str">
        <f>"刘欣荣"</f>
        <v>刘欣荣</v>
      </c>
      <c r="E1362" s="7" t="str">
        <f>"男"</f>
        <v>男</v>
      </c>
      <c r="F1362" s="7"/>
    </row>
    <row r="1363" spans="1:6" ht="30" customHeight="1">
      <c r="A1363" s="7">
        <v>1361</v>
      </c>
      <c r="B1363" s="7" t="str">
        <f>"34542021112121235051690"</f>
        <v>34542021112121235051690</v>
      </c>
      <c r="C1363" s="7" t="s">
        <v>19</v>
      </c>
      <c r="D1363" s="7" t="str">
        <f>"吴乾月"</f>
        <v>吴乾月</v>
      </c>
      <c r="E1363" s="7" t="str">
        <f>"女"</f>
        <v>女</v>
      </c>
      <c r="F1363" s="7"/>
    </row>
    <row r="1364" spans="1:6" ht="30" customHeight="1">
      <c r="A1364" s="7">
        <v>1362</v>
      </c>
      <c r="B1364" s="7" t="str">
        <f>"34542021112204165351735"</f>
        <v>34542021112204165351735</v>
      </c>
      <c r="C1364" s="7" t="s">
        <v>19</v>
      </c>
      <c r="D1364" s="7" t="str">
        <f>"戴发康"</f>
        <v>戴发康</v>
      </c>
      <c r="E1364" s="7" t="str">
        <f>"男"</f>
        <v>男</v>
      </c>
      <c r="F1364" s="7"/>
    </row>
    <row r="1365" spans="1:6" ht="30" customHeight="1">
      <c r="A1365" s="7">
        <v>1363</v>
      </c>
      <c r="B1365" s="7" t="str">
        <f>"34542021112210344151836"</f>
        <v>34542021112210344151836</v>
      </c>
      <c r="C1365" s="7" t="s">
        <v>19</v>
      </c>
      <c r="D1365" s="7" t="str">
        <f>"李精翠"</f>
        <v>李精翠</v>
      </c>
      <c r="E1365" s="7" t="str">
        <f>"女"</f>
        <v>女</v>
      </c>
      <c r="F1365" s="7"/>
    </row>
    <row r="1366" spans="1:6" ht="30" customHeight="1">
      <c r="A1366" s="7">
        <v>1364</v>
      </c>
      <c r="B1366" s="7" t="str">
        <f>"34542021112212131151895"</f>
        <v>34542021112212131151895</v>
      </c>
      <c r="C1366" s="7" t="s">
        <v>19</v>
      </c>
      <c r="D1366" s="7" t="str">
        <f>"薛桂娜"</f>
        <v>薛桂娜</v>
      </c>
      <c r="E1366" s="7" t="str">
        <f>"女"</f>
        <v>女</v>
      </c>
      <c r="F1366" s="7"/>
    </row>
    <row r="1367" spans="1:6" ht="30" customHeight="1">
      <c r="A1367" s="7">
        <v>1365</v>
      </c>
      <c r="B1367" s="7" t="str">
        <f>"34542021112215140451955"</f>
        <v>34542021112215140451955</v>
      </c>
      <c r="C1367" s="7" t="s">
        <v>19</v>
      </c>
      <c r="D1367" s="7" t="str">
        <f>"梁启君"</f>
        <v>梁启君</v>
      </c>
      <c r="E1367" s="7" t="str">
        <f>"男"</f>
        <v>男</v>
      </c>
      <c r="F1367" s="7"/>
    </row>
    <row r="1368" spans="1:6" ht="30" customHeight="1">
      <c r="A1368" s="7">
        <v>1366</v>
      </c>
      <c r="B1368" s="7" t="str">
        <f>"34542021112313365752315"</f>
        <v>34542021112313365752315</v>
      </c>
      <c r="C1368" s="7" t="s">
        <v>19</v>
      </c>
      <c r="D1368" s="7" t="str">
        <f>"王桂玲"</f>
        <v>王桂玲</v>
      </c>
      <c r="E1368" s="7" t="str">
        <f>"女"</f>
        <v>女</v>
      </c>
      <c r="F1368" s="7"/>
    </row>
    <row r="1369" spans="1:6" ht="30" customHeight="1">
      <c r="A1369" s="7">
        <v>1367</v>
      </c>
      <c r="B1369" s="7" t="str">
        <f>"34542021112317254552402"</f>
        <v>34542021112317254552402</v>
      </c>
      <c r="C1369" s="7" t="s">
        <v>19</v>
      </c>
      <c r="D1369" s="7" t="str">
        <f>"范兴腾"</f>
        <v>范兴腾</v>
      </c>
      <c r="E1369" s="7" t="str">
        <f>"男"</f>
        <v>男</v>
      </c>
      <c r="F1369" s="7"/>
    </row>
    <row r="1370" spans="1:6" ht="30" customHeight="1">
      <c r="A1370" s="7">
        <v>1368</v>
      </c>
      <c r="B1370" s="7" t="str">
        <f>"34542021112317395152412"</f>
        <v>34542021112317395152412</v>
      </c>
      <c r="C1370" s="7" t="s">
        <v>19</v>
      </c>
      <c r="D1370" s="7" t="str">
        <f>"钟万喜"</f>
        <v>钟万喜</v>
      </c>
      <c r="E1370" s="7" t="str">
        <f>"男"</f>
        <v>男</v>
      </c>
      <c r="F1370" s="7"/>
    </row>
    <row r="1371" spans="1:6" ht="30" customHeight="1">
      <c r="A1371" s="7">
        <v>1369</v>
      </c>
      <c r="B1371" s="7" t="str">
        <f>"34542021112319412152453"</f>
        <v>34542021112319412152453</v>
      </c>
      <c r="C1371" s="7" t="s">
        <v>19</v>
      </c>
      <c r="D1371" s="7" t="str">
        <f>"麦全智"</f>
        <v>麦全智</v>
      </c>
      <c r="E1371" s="7" t="str">
        <f>"男"</f>
        <v>男</v>
      </c>
      <c r="F1371" s="7"/>
    </row>
    <row r="1372" spans="1:6" ht="30" customHeight="1">
      <c r="A1372" s="7">
        <v>1370</v>
      </c>
      <c r="B1372" s="7" t="str">
        <f>"34542021112320372852476"</f>
        <v>34542021112320372852476</v>
      </c>
      <c r="C1372" s="7" t="s">
        <v>19</v>
      </c>
      <c r="D1372" s="7" t="str">
        <f>"李助庆"</f>
        <v>李助庆</v>
      </c>
      <c r="E1372" s="7" t="str">
        <f>"女"</f>
        <v>女</v>
      </c>
      <c r="F1372" s="7"/>
    </row>
    <row r="1373" spans="1:6" ht="30" customHeight="1">
      <c r="A1373" s="7">
        <v>1371</v>
      </c>
      <c r="B1373" s="7" t="str">
        <f>"34542021112322140252509"</f>
        <v>34542021112322140252509</v>
      </c>
      <c r="C1373" s="7" t="s">
        <v>19</v>
      </c>
      <c r="D1373" s="7" t="str">
        <f>"何精妃"</f>
        <v>何精妃</v>
      </c>
      <c r="E1373" s="7" t="str">
        <f>"女"</f>
        <v>女</v>
      </c>
      <c r="F1373" s="7"/>
    </row>
    <row r="1374" spans="1:6" ht="30" customHeight="1">
      <c r="A1374" s="7">
        <v>1372</v>
      </c>
      <c r="B1374" s="7" t="str">
        <f>"34542021112400325152534"</f>
        <v>34542021112400325152534</v>
      </c>
      <c r="C1374" s="7" t="s">
        <v>19</v>
      </c>
      <c r="D1374" s="7" t="str">
        <f>"王爱娇"</f>
        <v>王爱娇</v>
      </c>
      <c r="E1374" s="7" t="str">
        <f aca="true" t="shared" si="97" ref="E1374:E1389">"女"</f>
        <v>女</v>
      </c>
      <c r="F1374" s="7"/>
    </row>
    <row r="1375" spans="1:6" ht="30" customHeight="1">
      <c r="A1375" s="7">
        <v>1373</v>
      </c>
      <c r="B1375" s="7" t="str">
        <f>"34542021112410473652602"</f>
        <v>34542021112410473652602</v>
      </c>
      <c r="C1375" s="7" t="s">
        <v>19</v>
      </c>
      <c r="D1375" s="7" t="str">
        <f>"骆婆荣"</f>
        <v>骆婆荣</v>
      </c>
      <c r="E1375" s="7" t="str">
        <f t="shared" si="97"/>
        <v>女</v>
      </c>
      <c r="F1375" s="7"/>
    </row>
    <row r="1376" spans="1:6" ht="30" customHeight="1">
      <c r="A1376" s="7">
        <v>1374</v>
      </c>
      <c r="B1376" s="7" t="str">
        <f>"34542021112419541352758"</f>
        <v>34542021112419541352758</v>
      </c>
      <c r="C1376" s="7" t="s">
        <v>19</v>
      </c>
      <c r="D1376" s="7" t="str">
        <f>"赵多春"</f>
        <v>赵多春</v>
      </c>
      <c r="E1376" s="7" t="str">
        <f t="shared" si="97"/>
        <v>女</v>
      </c>
      <c r="F1376" s="7"/>
    </row>
    <row r="1377" spans="1:6" ht="30" customHeight="1">
      <c r="A1377" s="7">
        <v>1375</v>
      </c>
      <c r="B1377" s="7" t="str">
        <f>"34542021112422183752818"</f>
        <v>34542021112422183752818</v>
      </c>
      <c r="C1377" s="7" t="s">
        <v>19</v>
      </c>
      <c r="D1377" s="7" t="str">
        <f>"孙振涛"</f>
        <v>孙振涛</v>
      </c>
      <c r="E1377" s="7" t="str">
        <f>"男"</f>
        <v>男</v>
      </c>
      <c r="F1377" s="7"/>
    </row>
    <row r="1378" spans="1:6" ht="30" customHeight="1">
      <c r="A1378" s="7">
        <v>1376</v>
      </c>
      <c r="B1378" s="7" t="str">
        <f>"34542021112423092452835"</f>
        <v>34542021112423092452835</v>
      </c>
      <c r="C1378" s="7" t="s">
        <v>19</v>
      </c>
      <c r="D1378" s="7" t="str">
        <f>"李精桃"</f>
        <v>李精桃</v>
      </c>
      <c r="E1378" s="7" t="str">
        <f t="shared" si="97"/>
        <v>女</v>
      </c>
      <c r="F1378" s="7"/>
    </row>
    <row r="1379" spans="1:6" ht="30" customHeight="1">
      <c r="A1379" s="7">
        <v>1377</v>
      </c>
      <c r="B1379" s="7" t="str">
        <f>"34542021111909041050416"</f>
        <v>34542021111909041050416</v>
      </c>
      <c r="C1379" s="7" t="s">
        <v>20</v>
      </c>
      <c r="D1379" s="7" t="str">
        <f>"韩谢英"</f>
        <v>韩谢英</v>
      </c>
      <c r="E1379" s="7" t="str">
        <f t="shared" si="97"/>
        <v>女</v>
      </c>
      <c r="F1379" s="7"/>
    </row>
    <row r="1380" spans="1:6" ht="30" customHeight="1">
      <c r="A1380" s="7">
        <v>1378</v>
      </c>
      <c r="B1380" s="7" t="str">
        <f>"34542021111909072750424"</f>
        <v>34542021111909072750424</v>
      </c>
      <c r="C1380" s="7" t="s">
        <v>20</v>
      </c>
      <c r="D1380" s="7" t="str">
        <f>"苏军梅"</f>
        <v>苏军梅</v>
      </c>
      <c r="E1380" s="7" t="str">
        <f t="shared" si="97"/>
        <v>女</v>
      </c>
      <c r="F1380" s="7"/>
    </row>
    <row r="1381" spans="1:6" ht="30" customHeight="1">
      <c r="A1381" s="7">
        <v>1379</v>
      </c>
      <c r="B1381" s="7" t="str">
        <f>"34542021111909082050425"</f>
        <v>34542021111909082050425</v>
      </c>
      <c r="C1381" s="7" t="s">
        <v>20</v>
      </c>
      <c r="D1381" s="7" t="str">
        <f>"王秀玲"</f>
        <v>王秀玲</v>
      </c>
      <c r="E1381" s="7" t="str">
        <f t="shared" si="97"/>
        <v>女</v>
      </c>
      <c r="F1381" s="7"/>
    </row>
    <row r="1382" spans="1:6" ht="30" customHeight="1">
      <c r="A1382" s="7">
        <v>1380</v>
      </c>
      <c r="B1382" s="7" t="str">
        <f>"34542021111909083250427"</f>
        <v>34542021111909083250427</v>
      </c>
      <c r="C1382" s="7" t="s">
        <v>20</v>
      </c>
      <c r="D1382" s="7" t="str">
        <f>"吴东杏"</f>
        <v>吴东杏</v>
      </c>
      <c r="E1382" s="7" t="str">
        <f t="shared" si="97"/>
        <v>女</v>
      </c>
      <c r="F1382" s="7"/>
    </row>
    <row r="1383" spans="1:6" ht="30" customHeight="1">
      <c r="A1383" s="7">
        <v>1381</v>
      </c>
      <c r="B1383" s="7" t="str">
        <f>"34542021111909133350437"</f>
        <v>34542021111909133350437</v>
      </c>
      <c r="C1383" s="7" t="s">
        <v>20</v>
      </c>
      <c r="D1383" s="7" t="str">
        <f>"徐彩玲"</f>
        <v>徐彩玲</v>
      </c>
      <c r="E1383" s="7" t="str">
        <f t="shared" si="97"/>
        <v>女</v>
      </c>
      <c r="F1383" s="7"/>
    </row>
    <row r="1384" spans="1:6" ht="30" customHeight="1">
      <c r="A1384" s="7">
        <v>1382</v>
      </c>
      <c r="B1384" s="7" t="str">
        <f>"34542021111909173650444"</f>
        <v>34542021111909173650444</v>
      </c>
      <c r="C1384" s="7" t="s">
        <v>20</v>
      </c>
      <c r="D1384" s="7" t="str">
        <f>"陈帼波"</f>
        <v>陈帼波</v>
      </c>
      <c r="E1384" s="7" t="str">
        <f t="shared" si="97"/>
        <v>女</v>
      </c>
      <c r="F1384" s="7"/>
    </row>
    <row r="1385" spans="1:6" ht="30" customHeight="1">
      <c r="A1385" s="7">
        <v>1383</v>
      </c>
      <c r="B1385" s="7" t="str">
        <f>"34542021111909222650454"</f>
        <v>34542021111909222650454</v>
      </c>
      <c r="C1385" s="7" t="s">
        <v>20</v>
      </c>
      <c r="D1385" s="7" t="str">
        <f>"周妹妹"</f>
        <v>周妹妹</v>
      </c>
      <c r="E1385" s="7" t="str">
        <f t="shared" si="97"/>
        <v>女</v>
      </c>
      <c r="F1385" s="7"/>
    </row>
    <row r="1386" spans="1:6" ht="30" customHeight="1">
      <c r="A1386" s="7">
        <v>1384</v>
      </c>
      <c r="B1386" s="7" t="str">
        <f>"34542021111909285050467"</f>
        <v>34542021111909285050467</v>
      </c>
      <c r="C1386" s="7" t="s">
        <v>20</v>
      </c>
      <c r="D1386" s="7" t="str">
        <f>"李永玲"</f>
        <v>李永玲</v>
      </c>
      <c r="E1386" s="7" t="str">
        <f t="shared" si="97"/>
        <v>女</v>
      </c>
      <c r="F1386" s="7"/>
    </row>
    <row r="1387" spans="1:6" ht="30" customHeight="1">
      <c r="A1387" s="7">
        <v>1385</v>
      </c>
      <c r="B1387" s="7" t="str">
        <f>"34542021111909295850469"</f>
        <v>34542021111909295850469</v>
      </c>
      <c r="C1387" s="7" t="s">
        <v>20</v>
      </c>
      <c r="D1387" s="7" t="str">
        <f>"李怀娟"</f>
        <v>李怀娟</v>
      </c>
      <c r="E1387" s="7" t="str">
        <f t="shared" si="97"/>
        <v>女</v>
      </c>
      <c r="F1387" s="7"/>
    </row>
    <row r="1388" spans="1:6" ht="30" customHeight="1">
      <c r="A1388" s="7">
        <v>1386</v>
      </c>
      <c r="B1388" s="7" t="str">
        <f>"34542021111909320650471"</f>
        <v>34542021111909320650471</v>
      </c>
      <c r="C1388" s="7" t="s">
        <v>20</v>
      </c>
      <c r="D1388" s="7" t="str">
        <f>"符兰慧"</f>
        <v>符兰慧</v>
      </c>
      <c r="E1388" s="7" t="str">
        <f t="shared" si="97"/>
        <v>女</v>
      </c>
      <c r="F1388" s="7"/>
    </row>
    <row r="1389" spans="1:6" ht="30" customHeight="1">
      <c r="A1389" s="7">
        <v>1387</v>
      </c>
      <c r="B1389" s="7" t="str">
        <f>"34542021111909392550483"</f>
        <v>34542021111909392550483</v>
      </c>
      <c r="C1389" s="7" t="s">
        <v>20</v>
      </c>
      <c r="D1389" s="7" t="str">
        <f>"李双吉"</f>
        <v>李双吉</v>
      </c>
      <c r="E1389" s="7" t="str">
        <f t="shared" si="97"/>
        <v>女</v>
      </c>
      <c r="F1389" s="7"/>
    </row>
    <row r="1390" spans="1:6" ht="30" customHeight="1">
      <c r="A1390" s="7">
        <v>1388</v>
      </c>
      <c r="B1390" s="7" t="str">
        <f>"34542021111909423950487"</f>
        <v>34542021111909423950487</v>
      </c>
      <c r="C1390" s="7" t="s">
        <v>20</v>
      </c>
      <c r="D1390" s="7" t="str">
        <f>"李俊积"</f>
        <v>李俊积</v>
      </c>
      <c r="E1390" s="7" t="str">
        <f>"男"</f>
        <v>男</v>
      </c>
      <c r="F1390" s="7"/>
    </row>
    <row r="1391" spans="1:6" ht="30" customHeight="1">
      <c r="A1391" s="7">
        <v>1389</v>
      </c>
      <c r="B1391" s="7" t="str">
        <f>"34542021111909461650494"</f>
        <v>34542021111909461650494</v>
      </c>
      <c r="C1391" s="7" t="s">
        <v>20</v>
      </c>
      <c r="D1391" s="7" t="str">
        <f>"陈文生"</f>
        <v>陈文生</v>
      </c>
      <c r="E1391" s="7" t="str">
        <f>"男"</f>
        <v>男</v>
      </c>
      <c r="F1391" s="7"/>
    </row>
    <row r="1392" spans="1:6" ht="30" customHeight="1">
      <c r="A1392" s="7">
        <v>1390</v>
      </c>
      <c r="B1392" s="7" t="str">
        <f>"34542021111909475050495"</f>
        <v>34542021111909475050495</v>
      </c>
      <c r="C1392" s="7" t="s">
        <v>20</v>
      </c>
      <c r="D1392" s="7" t="str">
        <f>"陈美娇"</f>
        <v>陈美娇</v>
      </c>
      <c r="E1392" s="7" t="str">
        <f aca="true" t="shared" si="98" ref="E1392:E1403">"女"</f>
        <v>女</v>
      </c>
      <c r="F1392" s="7"/>
    </row>
    <row r="1393" spans="1:6" ht="30" customHeight="1">
      <c r="A1393" s="7">
        <v>1391</v>
      </c>
      <c r="B1393" s="7" t="str">
        <f>"34542021111910053750521"</f>
        <v>34542021111910053750521</v>
      </c>
      <c r="C1393" s="7" t="s">
        <v>20</v>
      </c>
      <c r="D1393" s="7" t="str">
        <f>"陈万萍"</f>
        <v>陈万萍</v>
      </c>
      <c r="E1393" s="7" t="str">
        <f t="shared" si="98"/>
        <v>女</v>
      </c>
      <c r="F1393" s="7"/>
    </row>
    <row r="1394" spans="1:6" ht="30" customHeight="1">
      <c r="A1394" s="7">
        <v>1392</v>
      </c>
      <c r="B1394" s="7" t="str">
        <f>"34542021111910084850527"</f>
        <v>34542021111910084850527</v>
      </c>
      <c r="C1394" s="7" t="s">
        <v>20</v>
      </c>
      <c r="D1394" s="7" t="str">
        <f>"符金联"</f>
        <v>符金联</v>
      </c>
      <c r="E1394" s="7" t="str">
        <f t="shared" si="98"/>
        <v>女</v>
      </c>
      <c r="F1394" s="7"/>
    </row>
    <row r="1395" spans="1:6" ht="30" customHeight="1">
      <c r="A1395" s="7">
        <v>1393</v>
      </c>
      <c r="B1395" s="7" t="str">
        <f>"34542021111910095650530"</f>
        <v>34542021111910095650530</v>
      </c>
      <c r="C1395" s="7" t="s">
        <v>20</v>
      </c>
      <c r="D1395" s="7" t="str">
        <f>"陈章慧"</f>
        <v>陈章慧</v>
      </c>
      <c r="E1395" s="7" t="str">
        <f t="shared" si="98"/>
        <v>女</v>
      </c>
      <c r="F1395" s="7"/>
    </row>
    <row r="1396" spans="1:6" ht="30" customHeight="1">
      <c r="A1396" s="7">
        <v>1394</v>
      </c>
      <c r="B1396" s="7" t="str">
        <f>"34542021111910202450545"</f>
        <v>34542021111910202450545</v>
      </c>
      <c r="C1396" s="7" t="s">
        <v>20</v>
      </c>
      <c r="D1396" s="7" t="str">
        <f>"侯桂娇"</f>
        <v>侯桂娇</v>
      </c>
      <c r="E1396" s="7" t="str">
        <f t="shared" si="98"/>
        <v>女</v>
      </c>
      <c r="F1396" s="7"/>
    </row>
    <row r="1397" spans="1:6" ht="30" customHeight="1">
      <c r="A1397" s="7">
        <v>1395</v>
      </c>
      <c r="B1397" s="7" t="str">
        <f>"34542021111910242650555"</f>
        <v>34542021111910242650555</v>
      </c>
      <c r="C1397" s="7" t="s">
        <v>20</v>
      </c>
      <c r="D1397" s="7" t="str">
        <f>"何慧怡"</f>
        <v>何慧怡</v>
      </c>
      <c r="E1397" s="7" t="str">
        <f t="shared" si="98"/>
        <v>女</v>
      </c>
      <c r="F1397" s="7"/>
    </row>
    <row r="1398" spans="1:6" ht="30" customHeight="1">
      <c r="A1398" s="7">
        <v>1396</v>
      </c>
      <c r="B1398" s="7" t="str">
        <f>"34542021111910281650559"</f>
        <v>34542021111910281650559</v>
      </c>
      <c r="C1398" s="7" t="s">
        <v>20</v>
      </c>
      <c r="D1398" s="7" t="str">
        <f>"符连妍"</f>
        <v>符连妍</v>
      </c>
      <c r="E1398" s="7" t="str">
        <f t="shared" si="98"/>
        <v>女</v>
      </c>
      <c r="F1398" s="7"/>
    </row>
    <row r="1399" spans="1:6" ht="30" customHeight="1">
      <c r="A1399" s="7">
        <v>1397</v>
      </c>
      <c r="B1399" s="7" t="str">
        <f>"34542021111910342650565"</f>
        <v>34542021111910342650565</v>
      </c>
      <c r="C1399" s="7" t="s">
        <v>20</v>
      </c>
      <c r="D1399" s="7" t="str">
        <f>"符健鹤"</f>
        <v>符健鹤</v>
      </c>
      <c r="E1399" s="7" t="str">
        <f t="shared" si="98"/>
        <v>女</v>
      </c>
      <c r="F1399" s="7"/>
    </row>
    <row r="1400" spans="1:6" ht="30" customHeight="1">
      <c r="A1400" s="7">
        <v>1398</v>
      </c>
      <c r="B1400" s="7" t="str">
        <f>"34542021111910381650573"</f>
        <v>34542021111910381650573</v>
      </c>
      <c r="C1400" s="7" t="s">
        <v>20</v>
      </c>
      <c r="D1400" s="7" t="str">
        <f>"林香川"</f>
        <v>林香川</v>
      </c>
      <c r="E1400" s="7" t="str">
        <f t="shared" si="98"/>
        <v>女</v>
      </c>
      <c r="F1400" s="7"/>
    </row>
    <row r="1401" spans="1:6" ht="30" customHeight="1">
      <c r="A1401" s="7">
        <v>1399</v>
      </c>
      <c r="B1401" s="7" t="str">
        <f>"34542021111910594050606"</f>
        <v>34542021111910594050606</v>
      </c>
      <c r="C1401" s="7" t="s">
        <v>20</v>
      </c>
      <c r="D1401" s="7" t="str">
        <f>"陈丽艳"</f>
        <v>陈丽艳</v>
      </c>
      <c r="E1401" s="7" t="str">
        <f t="shared" si="98"/>
        <v>女</v>
      </c>
      <c r="F1401" s="7"/>
    </row>
    <row r="1402" spans="1:6" ht="30" customHeight="1">
      <c r="A1402" s="7">
        <v>1400</v>
      </c>
      <c r="B1402" s="7" t="str">
        <f>"34542021111911012050610"</f>
        <v>34542021111911012050610</v>
      </c>
      <c r="C1402" s="7" t="s">
        <v>20</v>
      </c>
      <c r="D1402" s="7" t="str">
        <f>"王丽玲"</f>
        <v>王丽玲</v>
      </c>
      <c r="E1402" s="7" t="str">
        <f t="shared" si="98"/>
        <v>女</v>
      </c>
      <c r="F1402" s="7"/>
    </row>
    <row r="1403" spans="1:6" ht="30" customHeight="1">
      <c r="A1403" s="7">
        <v>1401</v>
      </c>
      <c r="B1403" s="7" t="str">
        <f>"34542021111911051450616"</f>
        <v>34542021111911051450616</v>
      </c>
      <c r="C1403" s="7" t="s">
        <v>20</v>
      </c>
      <c r="D1403" s="7" t="str">
        <f>"韦姜江"</f>
        <v>韦姜江</v>
      </c>
      <c r="E1403" s="7" t="str">
        <f t="shared" si="98"/>
        <v>女</v>
      </c>
      <c r="F1403" s="7"/>
    </row>
    <row r="1404" spans="1:6" ht="30" customHeight="1">
      <c r="A1404" s="7">
        <v>1402</v>
      </c>
      <c r="B1404" s="7" t="str">
        <f>"34542021111911215250637"</f>
        <v>34542021111911215250637</v>
      </c>
      <c r="C1404" s="7" t="s">
        <v>20</v>
      </c>
      <c r="D1404" s="7" t="str">
        <f>"韩万强"</f>
        <v>韩万强</v>
      </c>
      <c r="E1404" s="7" t="str">
        <f>"男"</f>
        <v>男</v>
      </c>
      <c r="F1404" s="7"/>
    </row>
    <row r="1405" spans="1:6" ht="30" customHeight="1">
      <c r="A1405" s="7">
        <v>1403</v>
      </c>
      <c r="B1405" s="7" t="str">
        <f>"34542021111911221650638"</f>
        <v>34542021111911221650638</v>
      </c>
      <c r="C1405" s="7" t="s">
        <v>20</v>
      </c>
      <c r="D1405" s="7" t="str">
        <f>"林彩虹"</f>
        <v>林彩虹</v>
      </c>
      <c r="E1405" s="7" t="str">
        <f aca="true" t="shared" si="99" ref="E1405:E1409">"女"</f>
        <v>女</v>
      </c>
      <c r="F1405" s="7"/>
    </row>
    <row r="1406" spans="1:6" ht="30" customHeight="1">
      <c r="A1406" s="7">
        <v>1404</v>
      </c>
      <c r="B1406" s="7" t="str">
        <f>"34542021111911243750639"</f>
        <v>34542021111911243750639</v>
      </c>
      <c r="C1406" s="7" t="s">
        <v>20</v>
      </c>
      <c r="D1406" s="7" t="str">
        <f>"林晓"</f>
        <v>林晓</v>
      </c>
      <c r="E1406" s="7" t="str">
        <f t="shared" si="99"/>
        <v>女</v>
      </c>
      <c r="F1406" s="7"/>
    </row>
    <row r="1407" spans="1:6" ht="30" customHeight="1">
      <c r="A1407" s="7">
        <v>1405</v>
      </c>
      <c r="B1407" s="7" t="str">
        <f>"34542021111911260050644"</f>
        <v>34542021111911260050644</v>
      </c>
      <c r="C1407" s="7" t="s">
        <v>20</v>
      </c>
      <c r="D1407" s="7" t="str">
        <f>"黄世莲"</f>
        <v>黄世莲</v>
      </c>
      <c r="E1407" s="7" t="str">
        <f t="shared" si="99"/>
        <v>女</v>
      </c>
      <c r="F1407" s="7"/>
    </row>
    <row r="1408" spans="1:6" ht="30" customHeight="1">
      <c r="A1408" s="7">
        <v>1406</v>
      </c>
      <c r="B1408" s="7" t="str">
        <f>"34542021111911304450650"</f>
        <v>34542021111911304450650</v>
      </c>
      <c r="C1408" s="7" t="s">
        <v>20</v>
      </c>
      <c r="D1408" s="7" t="str">
        <f>"陈启娜"</f>
        <v>陈启娜</v>
      </c>
      <c r="E1408" s="7" t="str">
        <f t="shared" si="99"/>
        <v>女</v>
      </c>
      <c r="F1408" s="7"/>
    </row>
    <row r="1409" spans="1:6" ht="30" customHeight="1">
      <c r="A1409" s="7">
        <v>1407</v>
      </c>
      <c r="B1409" s="7" t="str">
        <f>"34542021111911413550666"</f>
        <v>34542021111911413550666</v>
      </c>
      <c r="C1409" s="7" t="s">
        <v>20</v>
      </c>
      <c r="D1409" s="7" t="str">
        <f>"黄梦"</f>
        <v>黄梦</v>
      </c>
      <c r="E1409" s="7" t="str">
        <f t="shared" si="99"/>
        <v>女</v>
      </c>
      <c r="F1409" s="7"/>
    </row>
    <row r="1410" spans="1:6" ht="30" customHeight="1">
      <c r="A1410" s="7">
        <v>1408</v>
      </c>
      <c r="B1410" s="7" t="str">
        <f>"34542021111911415850667"</f>
        <v>34542021111911415850667</v>
      </c>
      <c r="C1410" s="7" t="s">
        <v>20</v>
      </c>
      <c r="D1410" s="7" t="str">
        <f>"曾达"</f>
        <v>曾达</v>
      </c>
      <c r="E1410" s="7" t="str">
        <f>"男"</f>
        <v>男</v>
      </c>
      <c r="F1410" s="7"/>
    </row>
    <row r="1411" spans="1:6" ht="30" customHeight="1">
      <c r="A1411" s="7">
        <v>1409</v>
      </c>
      <c r="B1411" s="7" t="str">
        <f>"34542021111911464050671"</f>
        <v>34542021111911464050671</v>
      </c>
      <c r="C1411" s="7" t="s">
        <v>20</v>
      </c>
      <c r="D1411" s="7" t="str">
        <f>"李开霞"</f>
        <v>李开霞</v>
      </c>
      <c r="E1411" s="7" t="str">
        <f aca="true" t="shared" si="100" ref="E1411:E1422">"女"</f>
        <v>女</v>
      </c>
      <c r="F1411" s="7"/>
    </row>
    <row r="1412" spans="1:6" ht="30" customHeight="1">
      <c r="A1412" s="7">
        <v>1410</v>
      </c>
      <c r="B1412" s="7" t="str">
        <f>"34542021111911494150674"</f>
        <v>34542021111911494150674</v>
      </c>
      <c r="C1412" s="7" t="s">
        <v>20</v>
      </c>
      <c r="D1412" s="7" t="str">
        <f>"吴群荣"</f>
        <v>吴群荣</v>
      </c>
      <c r="E1412" s="7" t="str">
        <f>"男"</f>
        <v>男</v>
      </c>
      <c r="F1412" s="7"/>
    </row>
    <row r="1413" spans="1:6" ht="30" customHeight="1">
      <c r="A1413" s="7">
        <v>1411</v>
      </c>
      <c r="B1413" s="7" t="str">
        <f>"34542021111911511850676"</f>
        <v>34542021111911511850676</v>
      </c>
      <c r="C1413" s="7" t="s">
        <v>20</v>
      </c>
      <c r="D1413" s="7" t="str">
        <f>"余燕"</f>
        <v>余燕</v>
      </c>
      <c r="E1413" s="7" t="str">
        <f t="shared" si="100"/>
        <v>女</v>
      </c>
      <c r="F1413" s="7"/>
    </row>
    <row r="1414" spans="1:6" ht="30" customHeight="1">
      <c r="A1414" s="7">
        <v>1412</v>
      </c>
      <c r="B1414" s="7" t="str">
        <f>"34542021111912015050684"</f>
        <v>34542021111912015050684</v>
      </c>
      <c r="C1414" s="7" t="s">
        <v>20</v>
      </c>
      <c r="D1414" s="7" t="str">
        <f>"王芬梅"</f>
        <v>王芬梅</v>
      </c>
      <c r="E1414" s="7" t="str">
        <f t="shared" si="100"/>
        <v>女</v>
      </c>
      <c r="F1414" s="7"/>
    </row>
    <row r="1415" spans="1:6" ht="30" customHeight="1">
      <c r="A1415" s="7">
        <v>1413</v>
      </c>
      <c r="B1415" s="7" t="str">
        <f>"34542021111912243150707"</f>
        <v>34542021111912243150707</v>
      </c>
      <c r="C1415" s="7" t="s">
        <v>20</v>
      </c>
      <c r="D1415" s="7" t="str">
        <f>"苏带欢"</f>
        <v>苏带欢</v>
      </c>
      <c r="E1415" s="7" t="str">
        <f t="shared" si="100"/>
        <v>女</v>
      </c>
      <c r="F1415" s="7"/>
    </row>
    <row r="1416" spans="1:6" ht="30" customHeight="1">
      <c r="A1416" s="7">
        <v>1414</v>
      </c>
      <c r="B1416" s="7" t="str">
        <f>"34542021111912361850714"</f>
        <v>34542021111912361850714</v>
      </c>
      <c r="C1416" s="7" t="s">
        <v>20</v>
      </c>
      <c r="D1416" s="7" t="str">
        <f>"陈丹婷"</f>
        <v>陈丹婷</v>
      </c>
      <c r="E1416" s="7" t="str">
        <f t="shared" si="100"/>
        <v>女</v>
      </c>
      <c r="F1416" s="7"/>
    </row>
    <row r="1417" spans="1:6" ht="30" customHeight="1">
      <c r="A1417" s="7">
        <v>1415</v>
      </c>
      <c r="B1417" s="7" t="str">
        <f>"34542021111912395850716"</f>
        <v>34542021111912395850716</v>
      </c>
      <c r="C1417" s="7" t="s">
        <v>20</v>
      </c>
      <c r="D1417" s="7" t="str">
        <f>"唐蔗"</f>
        <v>唐蔗</v>
      </c>
      <c r="E1417" s="7" t="str">
        <f t="shared" si="100"/>
        <v>女</v>
      </c>
      <c r="F1417" s="7"/>
    </row>
    <row r="1418" spans="1:6" ht="30" customHeight="1">
      <c r="A1418" s="7">
        <v>1416</v>
      </c>
      <c r="B1418" s="7" t="str">
        <f>"34542021111913014050733"</f>
        <v>34542021111913014050733</v>
      </c>
      <c r="C1418" s="7" t="s">
        <v>20</v>
      </c>
      <c r="D1418" s="7" t="str">
        <f>"李珍妃"</f>
        <v>李珍妃</v>
      </c>
      <c r="E1418" s="7" t="str">
        <f t="shared" si="100"/>
        <v>女</v>
      </c>
      <c r="F1418" s="7"/>
    </row>
    <row r="1419" spans="1:6" ht="30" customHeight="1">
      <c r="A1419" s="7">
        <v>1417</v>
      </c>
      <c r="B1419" s="7" t="str">
        <f>"34542021111913114450739"</f>
        <v>34542021111913114450739</v>
      </c>
      <c r="C1419" s="7" t="s">
        <v>20</v>
      </c>
      <c r="D1419" s="7" t="str">
        <f>"吴海桂"</f>
        <v>吴海桂</v>
      </c>
      <c r="E1419" s="7" t="str">
        <f t="shared" si="100"/>
        <v>女</v>
      </c>
      <c r="F1419" s="7"/>
    </row>
    <row r="1420" spans="1:6" ht="30" customHeight="1">
      <c r="A1420" s="7">
        <v>1418</v>
      </c>
      <c r="B1420" s="7" t="str">
        <f>"34542021111913160950744"</f>
        <v>34542021111913160950744</v>
      </c>
      <c r="C1420" s="7" t="s">
        <v>20</v>
      </c>
      <c r="D1420" s="7" t="str">
        <f>"劳晓杰"</f>
        <v>劳晓杰</v>
      </c>
      <c r="E1420" s="7" t="str">
        <f t="shared" si="100"/>
        <v>女</v>
      </c>
      <c r="F1420" s="7"/>
    </row>
    <row r="1421" spans="1:6" ht="30" customHeight="1">
      <c r="A1421" s="7">
        <v>1419</v>
      </c>
      <c r="B1421" s="7" t="str">
        <f>"34542021111914211050794"</f>
        <v>34542021111914211050794</v>
      </c>
      <c r="C1421" s="7" t="s">
        <v>20</v>
      </c>
      <c r="D1421" s="7" t="str">
        <f>"洪二妹"</f>
        <v>洪二妹</v>
      </c>
      <c r="E1421" s="7" t="str">
        <f t="shared" si="100"/>
        <v>女</v>
      </c>
      <c r="F1421" s="7"/>
    </row>
    <row r="1422" spans="1:6" ht="30" customHeight="1">
      <c r="A1422" s="7">
        <v>1420</v>
      </c>
      <c r="B1422" s="7" t="str">
        <f>"34542021111914233150795"</f>
        <v>34542021111914233150795</v>
      </c>
      <c r="C1422" s="7" t="s">
        <v>20</v>
      </c>
      <c r="D1422" s="7" t="str">
        <f>"王转姑"</f>
        <v>王转姑</v>
      </c>
      <c r="E1422" s="7" t="str">
        <f t="shared" si="100"/>
        <v>女</v>
      </c>
      <c r="F1422" s="7"/>
    </row>
    <row r="1423" spans="1:6" ht="30" customHeight="1">
      <c r="A1423" s="7">
        <v>1421</v>
      </c>
      <c r="B1423" s="7" t="str">
        <f>"34542021111914442650809"</f>
        <v>34542021111914442650809</v>
      </c>
      <c r="C1423" s="7" t="s">
        <v>20</v>
      </c>
      <c r="D1423" s="7" t="str">
        <f>"林忠邦"</f>
        <v>林忠邦</v>
      </c>
      <c r="E1423" s="7" t="str">
        <f>"男"</f>
        <v>男</v>
      </c>
      <c r="F1423" s="7"/>
    </row>
    <row r="1424" spans="1:6" ht="30" customHeight="1">
      <c r="A1424" s="7">
        <v>1422</v>
      </c>
      <c r="B1424" s="7" t="str">
        <f>"34542021111915193050841"</f>
        <v>34542021111915193050841</v>
      </c>
      <c r="C1424" s="7" t="s">
        <v>20</v>
      </c>
      <c r="D1424" s="7" t="str">
        <f>"牛江涛"</f>
        <v>牛江涛</v>
      </c>
      <c r="E1424" s="7" t="str">
        <f>"男"</f>
        <v>男</v>
      </c>
      <c r="F1424" s="7"/>
    </row>
    <row r="1425" spans="1:6" ht="30" customHeight="1">
      <c r="A1425" s="7">
        <v>1423</v>
      </c>
      <c r="B1425" s="7" t="str">
        <f>"34542021111915195950843"</f>
        <v>34542021111915195950843</v>
      </c>
      <c r="C1425" s="7" t="s">
        <v>20</v>
      </c>
      <c r="D1425" s="7" t="str">
        <f>"曾海原"</f>
        <v>曾海原</v>
      </c>
      <c r="E1425" s="7" t="str">
        <f aca="true" t="shared" si="101" ref="E1425:E1457">"女"</f>
        <v>女</v>
      </c>
      <c r="F1425" s="7"/>
    </row>
    <row r="1426" spans="1:6" ht="30" customHeight="1">
      <c r="A1426" s="7">
        <v>1424</v>
      </c>
      <c r="B1426" s="7" t="str">
        <f>"34542021111915234050850"</f>
        <v>34542021111915234050850</v>
      </c>
      <c r="C1426" s="7" t="s">
        <v>20</v>
      </c>
      <c r="D1426" s="7" t="str">
        <f>"梁海燕"</f>
        <v>梁海燕</v>
      </c>
      <c r="E1426" s="7" t="str">
        <f t="shared" si="101"/>
        <v>女</v>
      </c>
      <c r="F1426" s="7"/>
    </row>
    <row r="1427" spans="1:6" ht="30" customHeight="1">
      <c r="A1427" s="7">
        <v>1425</v>
      </c>
      <c r="B1427" s="7" t="str">
        <f>"34542021111915303350858"</f>
        <v>34542021111915303350858</v>
      </c>
      <c r="C1427" s="7" t="s">
        <v>20</v>
      </c>
      <c r="D1427" s="7" t="str">
        <f>"赵贵兰"</f>
        <v>赵贵兰</v>
      </c>
      <c r="E1427" s="7" t="str">
        <f t="shared" si="101"/>
        <v>女</v>
      </c>
      <c r="F1427" s="7"/>
    </row>
    <row r="1428" spans="1:6" ht="30" customHeight="1">
      <c r="A1428" s="7">
        <v>1426</v>
      </c>
      <c r="B1428" s="7" t="str">
        <f>"34542021111915325550861"</f>
        <v>34542021111915325550861</v>
      </c>
      <c r="C1428" s="7" t="s">
        <v>20</v>
      </c>
      <c r="D1428" s="7" t="str">
        <f>"吴清瑶"</f>
        <v>吴清瑶</v>
      </c>
      <c r="E1428" s="7" t="str">
        <f t="shared" si="101"/>
        <v>女</v>
      </c>
      <c r="F1428" s="7"/>
    </row>
    <row r="1429" spans="1:6" ht="30" customHeight="1">
      <c r="A1429" s="7">
        <v>1427</v>
      </c>
      <c r="B1429" s="7" t="str">
        <f>"34542021111915394050867"</f>
        <v>34542021111915394050867</v>
      </c>
      <c r="C1429" s="7" t="s">
        <v>20</v>
      </c>
      <c r="D1429" s="7" t="str">
        <f>"李兰"</f>
        <v>李兰</v>
      </c>
      <c r="E1429" s="7" t="str">
        <f t="shared" si="101"/>
        <v>女</v>
      </c>
      <c r="F1429" s="7"/>
    </row>
    <row r="1430" spans="1:6" ht="30" customHeight="1">
      <c r="A1430" s="7">
        <v>1428</v>
      </c>
      <c r="B1430" s="7" t="str">
        <f>"34542021111915443150871"</f>
        <v>34542021111915443150871</v>
      </c>
      <c r="C1430" s="7" t="s">
        <v>20</v>
      </c>
      <c r="D1430" s="7" t="str">
        <f>"李春枝"</f>
        <v>李春枝</v>
      </c>
      <c r="E1430" s="7" t="str">
        <f t="shared" si="101"/>
        <v>女</v>
      </c>
      <c r="F1430" s="7"/>
    </row>
    <row r="1431" spans="1:6" ht="30" customHeight="1">
      <c r="A1431" s="7">
        <v>1429</v>
      </c>
      <c r="B1431" s="7" t="str">
        <f>"34542021111915495950881"</f>
        <v>34542021111915495950881</v>
      </c>
      <c r="C1431" s="7" t="s">
        <v>20</v>
      </c>
      <c r="D1431" s="7" t="str">
        <f>"黎齐妃"</f>
        <v>黎齐妃</v>
      </c>
      <c r="E1431" s="7" t="str">
        <f t="shared" si="101"/>
        <v>女</v>
      </c>
      <c r="F1431" s="7"/>
    </row>
    <row r="1432" spans="1:6" ht="30" customHeight="1">
      <c r="A1432" s="7">
        <v>1430</v>
      </c>
      <c r="B1432" s="7" t="str">
        <f>"34542021111915575250891"</f>
        <v>34542021111915575250891</v>
      </c>
      <c r="C1432" s="7" t="s">
        <v>20</v>
      </c>
      <c r="D1432" s="7" t="str">
        <f>"黄俊玲"</f>
        <v>黄俊玲</v>
      </c>
      <c r="E1432" s="7" t="str">
        <f t="shared" si="101"/>
        <v>女</v>
      </c>
      <c r="F1432" s="7"/>
    </row>
    <row r="1433" spans="1:6" ht="30" customHeight="1">
      <c r="A1433" s="7">
        <v>1431</v>
      </c>
      <c r="B1433" s="7" t="str">
        <f>"34542021111915575650892"</f>
        <v>34542021111915575650892</v>
      </c>
      <c r="C1433" s="7" t="s">
        <v>20</v>
      </c>
      <c r="D1433" s="7" t="str">
        <f>"唐晶晶"</f>
        <v>唐晶晶</v>
      </c>
      <c r="E1433" s="7" t="str">
        <f t="shared" si="101"/>
        <v>女</v>
      </c>
      <c r="F1433" s="7"/>
    </row>
    <row r="1434" spans="1:6" ht="30" customHeight="1">
      <c r="A1434" s="7">
        <v>1432</v>
      </c>
      <c r="B1434" s="7" t="str">
        <f>"34542021111915582450894"</f>
        <v>34542021111915582450894</v>
      </c>
      <c r="C1434" s="7" t="s">
        <v>20</v>
      </c>
      <c r="D1434" s="7" t="str">
        <f>"卢燕珍"</f>
        <v>卢燕珍</v>
      </c>
      <c r="E1434" s="7" t="str">
        <f t="shared" si="101"/>
        <v>女</v>
      </c>
      <c r="F1434" s="7"/>
    </row>
    <row r="1435" spans="1:6" ht="30" customHeight="1">
      <c r="A1435" s="7">
        <v>1433</v>
      </c>
      <c r="B1435" s="7" t="str">
        <f>"34542021111915585550895"</f>
        <v>34542021111915585550895</v>
      </c>
      <c r="C1435" s="7" t="s">
        <v>20</v>
      </c>
      <c r="D1435" s="7" t="str">
        <f>"符乐"</f>
        <v>符乐</v>
      </c>
      <c r="E1435" s="7" t="str">
        <f t="shared" si="101"/>
        <v>女</v>
      </c>
      <c r="F1435" s="7"/>
    </row>
    <row r="1436" spans="1:6" ht="30" customHeight="1">
      <c r="A1436" s="7">
        <v>1434</v>
      </c>
      <c r="B1436" s="7" t="str">
        <f>"34542021111916101150904"</f>
        <v>34542021111916101150904</v>
      </c>
      <c r="C1436" s="7" t="s">
        <v>20</v>
      </c>
      <c r="D1436" s="7" t="str">
        <f>"周木带"</f>
        <v>周木带</v>
      </c>
      <c r="E1436" s="7" t="str">
        <f t="shared" si="101"/>
        <v>女</v>
      </c>
      <c r="F1436" s="7"/>
    </row>
    <row r="1437" spans="1:6" ht="30" customHeight="1">
      <c r="A1437" s="7">
        <v>1435</v>
      </c>
      <c r="B1437" s="7" t="str">
        <f>"34542021111916190250917"</f>
        <v>34542021111916190250917</v>
      </c>
      <c r="C1437" s="7" t="s">
        <v>20</v>
      </c>
      <c r="D1437" s="7" t="str">
        <f>"黄丽娟"</f>
        <v>黄丽娟</v>
      </c>
      <c r="E1437" s="7" t="str">
        <f t="shared" si="101"/>
        <v>女</v>
      </c>
      <c r="F1437" s="7"/>
    </row>
    <row r="1438" spans="1:6" ht="30" customHeight="1">
      <c r="A1438" s="7">
        <v>1436</v>
      </c>
      <c r="B1438" s="7" t="str">
        <f>"34542021111916301150930"</f>
        <v>34542021111916301150930</v>
      </c>
      <c r="C1438" s="7" t="s">
        <v>20</v>
      </c>
      <c r="D1438" s="7" t="str">
        <f>"黄海静"</f>
        <v>黄海静</v>
      </c>
      <c r="E1438" s="7" t="str">
        <f t="shared" si="101"/>
        <v>女</v>
      </c>
      <c r="F1438" s="7"/>
    </row>
    <row r="1439" spans="1:6" ht="30" customHeight="1">
      <c r="A1439" s="7">
        <v>1437</v>
      </c>
      <c r="B1439" s="7" t="str">
        <f>"34542021111916505350949"</f>
        <v>34542021111916505350949</v>
      </c>
      <c r="C1439" s="7" t="s">
        <v>20</v>
      </c>
      <c r="D1439" s="7" t="str">
        <f>"王月兰"</f>
        <v>王月兰</v>
      </c>
      <c r="E1439" s="7" t="str">
        <f t="shared" si="101"/>
        <v>女</v>
      </c>
      <c r="F1439" s="7"/>
    </row>
    <row r="1440" spans="1:6" ht="30" customHeight="1">
      <c r="A1440" s="7">
        <v>1438</v>
      </c>
      <c r="B1440" s="7" t="str">
        <f>"34542021111917452550976"</f>
        <v>34542021111917452550976</v>
      </c>
      <c r="C1440" s="7" t="s">
        <v>20</v>
      </c>
      <c r="D1440" s="7" t="str">
        <f>"赵伟花"</f>
        <v>赵伟花</v>
      </c>
      <c r="E1440" s="7" t="str">
        <f t="shared" si="101"/>
        <v>女</v>
      </c>
      <c r="F1440" s="7"/>
    </row>
    <row r="1441" spans="1:6" ht="30" customHeight="1">
      <c r="A1441" s="7">
        <v>1439</v>
      </c>
      <c r="B1441" s="7" t="str">
        <f>"34542021111918154750986"</f>
        <v>34542021111918154750986</v>
      </c>
      <c r="C1441" s="7" t="s">
        <v>20</v>
      </c>
      <c r="D1441" s="7" t="str">
        <f>"庄瑞芳"</f>
        <v>庄瑞芳</v>
      </c>
      <c r="E1441" s="7" t="str">
        <f t="shared" si="101"/>
        <v>女</v>
      </c>
      <c r="F1441" s="7"/>
    </row>
    <row r="1442" spans="1:6" ht="30" customHeight="1">
      <c r="A1442" s="7">
        <v>1440</v>
      </c>
      <c r="B1442" s="7" t="str">
        <f>"34542021111918540250999"</f>
        <v>34542021111918540250999</v>
      </c>
      <c r="C1442" s="7" t="s">
        <v>20</v>
      </c>
      <c r="D1442" s="7" t="str">
        <f>"王安琪"</f>
        <v>王安琪</v>
      </c>
      <c r="E1442" s="7" t="str">
        <f t="shared" si="101"/>
        <v>女</v>
      </c>
      <c r="F1442" s="7"/>
    </row>
    <row r="1443" spans="1:6" ht="30" customHeight="1">
      <c r="A1443" s="7">
        <v>1441</v>
      </c>
      <c r="B1443" s="7" t="str">
        <f>"34542021111919052651002"</f>
        <v>34542021111919052651002</v>
      </c>
      <c r="C1443" s="7" t="s">
        <v>20</v>
      </c>
      <c r="D1443" s="7" t="str">
        <f>"庄最后"</f>
        <v>庄最后</v>
      </c>
      <c r="E1443" s="7" t="str">
        <f t="shared" si="101"/>
        <v>女</v>
      </c>
      <c r="F1443" s="7"/>
    </row>
    <row r="1444" spans="1:6" ht="30" customHeight="1">
      <c r="A1444" s="7">
        <v>1442</v>
      </c>
      <c r="B1444" s="7" t="str">
        <f>"34542021111919142051011"</f>
        <v>34542021111919142051011</v>
      </c>
      <c r="C1444" s="7" t="s">
        <v>20</v>
      </c>
      <c r="D1444" s="7" t="str">
        <f>"董嬉娉"</f>
        <v>董嬉娉</v>
      </c>
      <c r="E1444" s="7" t="str">
        <f t="shared" si="101"/>
        <v>女</v>
      </c>
      <c r="F1444" s="7"/>
    </row>
    <row r="1445" spans="1:6" ht="30" customHeight="1">
      <c r="A1445" s="7">
        <v>1443</v>
      </c>
      <c r="B1445" s="7" t="str">
        <f>"34542021111919302951017"</f>
        <v>34542021111919302951017</v>
      </c>
      <c r="C1445" s="7" t="s">
        <v>20</v>
      </c>
      <c r="D1445" s="7" t="str">
        <f>"杨永芳"</f>
        <v>杨永芳</v>
      </c>
      <c r="E1445" s="7" t="str">
        <f t="shared" si="101"/>
        <v>女</v>
      </c>
      <c r="F1445" s="7"/>
    </row>
    <row r="1446" spans="1:6" ht="30" customHeight="1">
      <c r="A1446" s="7">
        <v>1444</v>
      </c>
      <c r="B1446" s="7" t="str">
        <f>"34542021111921100951074"</f>
        <v>34542021111921100951074</v>
      </c>
      <c r="C1446" s="7" t="s">
        <v>20</v>
      </c>
      <c r="D1446" s="7" t="str">
        <f>"牛伟健"</f>
        <v>牛伟健</v>
      </c>
      <c r="E1446" s="7" t="str">
        <f t="shared" si="101"/>
        <v>女</v>
      </c>
      <c r="F1446" s="7"/>
    </row>
    <row r="1447" spans="1:6" ht="30" customHeight="1">
      <c r="A1447" s="7">
        <v>1445</v>
      </c>
      <c r="B1447" s="7" t="str">
        <f>"34542021111922093251102"</f>
        <v>34542021111922093251102</v>
      </c>
      <c r="C1447" s="7" t="s">
        <v>20</v>
      </c>
      <c r="D1447" s="7" t="str">
        <f>"郑淑琴"</f>
        <v>郑淑琴</v>
      </c>
      <c r="E1447" s="7" t="str">
        <f t="shared" si="101"/>
        <v>女</v>
      </c>
      <c r="F1447" s="7"/>
    </row>
    <row r="1448" spans="1:6" ht="30" customHeight="1">
      <c r="A1448" s="7">
        <v>1446</v>
      </c>
      <c r="B1448" s="7" t="str">
        <f>"34542021111922132051107"</f>
        <v>34542021111922132051107</v>
      </c>
      <c r="C1448" s="7" t="s">
        <v>20</v>
      </c>
      <c r="D1448" s="7" t="str">
        <f>"符井妹"</f>
        <v>符井妹</v>
      </c>
      <c r="E1448" s="7" t="str">
        <f t="shared" si="101"/>
        <v>女</v>
      </c>
      <c r="F1448" s="7"/>
    </row>
    <row r="1449" spans="1:6" ht="30" customHeight="1">
      <c r="A1449" s="7">
        <v>1447</v>
      </c>
      <c r="B1449" s="7" t="str">
        <f>"34542021111922325551115"</f>
        <v>34542021111922325551115</v>
      </c>
      <c r="C1449" s="7" t="s">
        <v>20</v>
      </c>
      <c r="D1449" s="7" t="str">
        <f>"王垂菊"</f>
        <v>王垂菊</v>
      </c>
      <c r="E1449" s="7" t="str">
        <f t="shared" si="101"/>
        <v>女</v>
      </c>
      <c r="F1449" s="7"/>
    </row>
    <row r="1450" spans="1:6" ht="30" customHeight="1">
      <c r="A1450" s="7">
        <v>1448</v>
      </c>
      <c r="B1450" s="7" t="str">
        <f>"34542021111923065151127"</f>
        <v>34542021111923065151127</v>
      </c>
      <c r="C1450" s="7" t="s">
        <v>20</v>
      </c>
      <c r="D1450" s="7" t="str">
        <f>"王丽"</f>
        <v>王丽</v>
      </c>
      <c r="E1450" s="7" t="str">
        <f t="shared" si="101"/>
        <v>女</v>
      </c>
      <c r="F1450" s="7"/>
    </row>
    <row r="1451" spans="1:6" ht="30" customHeight="1">
      <c r="A1451" s="7">
        <v>1449</v>
      </c>
      <c r="B1451" s="7" t="str">
        <f>"34542021112006251451147"</f>
        <v>34542021112006251451147</v>
      </c>
      <c r="C1451" s="7" t="s">
        <v>20</v>
      </c>
      <c r="D1451" s="7" t="str">
        <f>"李石乾"</f>
        <v>李石乾</v>
      </c>
      <c r="E1451" s="7" t="str">
        <f t="shared" si="101"/>
        <v>女</v>
      </c>
      <c r="F1451" s="7"/>
    </row>
    <row r="1452" spans="1:6" ht="30" customHeight="1">
      <c r="A1452" s="7">
        <v>1450</v>
      </c>
      <c r="B1452" s="7" t="str">
        <f>"34542021112008143551151"</f>
        <v>34542021112008143551151</v>
      </c>
      <c r="C1452" s="7" t="s">
        <v>20</v>
      </c>
      <c r="D1452" s="7" t="str">
        <f>"阮琼娥"</f>
        <v>阮琼娥</v>
      </c>
      <c r="E1452" s="7" t="str">
        <f t="shared" si="101"/>
        <v>女</v>
      </c>
      <c r="F1452" s="7"/>
    </row>
    <row r="1453" spans="1:6" ht="30" customHeight="1">
      <c r="A1453" s="7">
        <v>1451</v>
      </c>
      <c r="B1453" s="7" t="str">
        <f>"34542021112009073751157"</f>
        <v>34542021112009073751157</v>
      </c>
      <c r="C1453" s="7" t="s">
        <v>20</v>
      </c>
      <c r="D1453" s="7" t="str">
        <f>"曾双绥"</f>
        <v>曾双绥</v>
      </c>
      <c r="E1453" s="7" t="str">
        <f t="shared" si="101"/>
        <v>女</v>
      </c>
      <c r="F1453" s="7"/>
    </row>
    <row r="1454" spans="1:6" ht="30" customHeight="1">
      <c r="A1454" s="7">
        <v>1452</v>
      </c>
      <c r="B1454" s="7" t="str">
        <f>"34542021112010165351187"</f>
        <v>34542021112010165351187</v>
      </c>
      <c r="C1454" s="7" t="s">
        <v>20</v>
      </c>
      <c r="D1454" s="7" t="str">
        <f>"陈宝萍"</f>
        <v>陈宝萍</v>
      </c>
      <c r="E1454" s="7" t="str">
        <f t="shared" si="101"/>
        <v>女</v>
      </c>
      <c r="F1454" s="7"/>
    </row>
    <row r="1455" spans="1:6" ht="30" customHeight="1">
      <c r="A1455" s="7">
        <v>1453</v>
      </c>
      <c r="B1455" s="7" t="str">
        <f>"34542021112011113151214"</f>
        <v>34542021112011113151214</v>
      </c>
      <c r="C1455" s="7" t="s">
        <v>20</v>
      </c>
      <c r="D1455" s="7" t="str">
        <f>"曾一鹏"</f>
        <v>曾一鹏</v>
      </c>
      <c r="E1455" s="7" t="str">
        <f t="shared" si="101"/>
        <v>女</v>
      </c>
      <c r="F1455" s="7"/>
    </row>
    <row r="1456" spans="1:6" ht="30" customHeight="1">
      <c r="A1456" s="7">
        <v>1454</v>
      </c>
      <c r="B1456" s="7" t="str">
        <f>"34542021112011145351216"</f>
        <v>34542021112011145351216</v>
      </c>
      <c r="C1456" s="7" t="s">
        <v>20</v>
      </c>
      <c r="D1456" s="7" t="str">
        <f>"郭隆妹"</f>
        <v>郭隆妹</v>
      </c>
      <c r="E1456" s="7" t="str">
        <f t="shared" si="101"/>
        <v>女</v>
      </c>
      <c r="F1456" s="7"/>
    </row>
    <row r="1457" spans="1:6" ht="30" customHeight="1">
      <c r="A1457" s="7">
        <v>1455</v>
      </c>
      <c r="B1457" s="7" t="str">
        <f>"34542021112012032551233"</f>
        <v>34542021112012032551233</v>
      </c>
      <c r="C1457" s="7" t="s">
        <v>20</v>
      </c>
      <c r="D1457" s="7" t="str">
        <f>"李芬"</f>
        <v>李芬</v>
      </c>
      <c r="E1457" s="7" t="str">
        <f t="shared" si="101"/>
        <v>女</v>
      </c>
      <c r="F1457" s="7"/>
    </row>
    <row r="1458" spans="1:6" ht="30" customHeight="1">
      <c r="A1458" s="7">
        <v>1456</v>
      </c>
      <c r="B1458" s="7" t="str">
        <f>"34542021112012352051249"</f>
        <v>34542021112012352051249</v>
      </c>
      <c r="C1458" s="7" t="s">
        <v>20</v>
      </c>
      <c r="D1458" s="7" t="str">
        <f>"彭传倬"</f>
        <v>彭传倬</v>
      </c>
      <c r="E1458" s="7" t="str">
        <f>"男"</f>
        <v>男</v>
      </c>
      <c r="F1458" s="7"/>
    </row>
    <row r="1459" spans="1:6" ht="30" customHeight="1">
      <c r="A1459" s="7">
        <v>1457</v>
      </c>
      <c r="B1459" s="7" t="str">
        <f>"34542021112013394251271"</f>
        <v>34542021112013394251271</v>
      </c>
      <c r="C1459" s="7" t="s">
        <v>20</v>
      </c>
      <c r="D1459" s="7" t="str">
        <f>"吴冬妍"</f>
        <v>吴冬妍</v>
      </c>
      <c r="E1459" s="7" t="str">
        <f aca="true" t="shared" si="102" ref="E1459:E1466">"女"</f>
        <v>女</v>
      </c>
      <c r="F1459" s="7"/>
    </row>
    <row r="1460" spans="1:6" ht="30" customHeight="1">
      <c r="A1460" s="7">
        <v>1458</v>
      </c>
      <c r="B1460" s="7" t="str">
        <f>"34542021112015201651300"</f>
        <v>34542021112015201651300</v>
      </c>
      <c r="C1460" s="7" t="s">
        <v>20</v>
      </c>
      <c r="D1460" s="7" t="str">
        <f>"陈业海"</f>
        <v>陈业海</v>
      </c>
      <c r="E1460" s="7" t="str">
        <f>"男"</f>
        <v>男</v>
      </c>
      <c r="F1460" s="7"/>
    </row>
    <row r="1461" spans="1:6" ht="30" customHeight="1">
      <c r="A1461" s="7">
        <v>1459</v>
      </c>
      <c r="B1461" s="7" t="str">
        <f>"34542021112015474851304"</f>
        <v>34542021112015474851304</v>
      </c>
      <c r="C1461" s="7" t="s">
        <v>20</v>
      </c>
      <c r="D1461" s="7" t="str">
        <f>"李石带"</f>
        <v>李石带</v>
      </c>
      <c r="E1461" s="7" t="str">
        <f t="shared" si="102"/>
        <v>女</v>
      </c>
      <c r="F1461" s="7"/>
    </row>
    <row r="1462" spans="1:6" ht="30" customHeight="1">
      <c r="A1462" s="7">
        <v>1460</v>
      </c>
      <c r="B1462" s="7" t="str">
        <f>"34542021112015575951306"</f>
        <v>34542021112015575951306</v>
      </c>
      <c r="C1462" s="7" t="s">
        <v>20</v>
      </c>
      <c r="D1462" s="7" t="str">
        <f>"林红叶"</f>
        <v>林红叶</v>
      </c>
      <c r="E1462" s="7" t="str">
        <f t="shared" si="102"/>
        <v>女</v>
      </c>
      <c r="F1462" s="7"/>
    </row>
    <row r="1463" spans="1:6" ht="30" customHeight="1">
      <c r="A1463" s="7">
        <v>1461</v>
      </c>
      <c r="B1463" s="7" t="str">
        <f>"34542021112016420651320"</f>
        <v>34542021112016420651320</v>
      </c>
      <c r="C1463" s="7" t="s">
        <v>20</v>
      </c>
      <c r="D1463" s="7" t="str">
        <f>"吴燕梅"</f>
        <v>吴燕梅</v>
      </c>
      <c r="E1463" s="7" t="str">
        <f t="shared" si="102"/>
        <v>女</v>
      </c>
      <c r="F1463" s="7"/>
    </row>
    <row r="1464" spans="1:6" ht="30" customHeight="1">
      <c r="A1464" s="7">
        <v>1462</v>
      </c>
      <c r="B1464" s="7" t="str">
        <f>"34542021112017114251328"</f>
        <v>34542021112017114251328</v>
      </c>
      <c r="C1464" s="7" t="s">
        <v>20</v>
      </c>
      <c r="D1464" s="7" t="str">
        <f>"邓国秀"</f>
        <v>邓国秀</v>
      </c>
      <c r="E1464" s="7" t="str">
        <f t="shared" si="102"/>
        <v>女</v>
      </c>
      <c r="F1464" s="7"/>
    </row>
    <row r="1465" spans="1:6" ht="30" customHeight="1">
      <c r="A1465" s="7">
        <v>1463</v>
      </c>
      <c r="B1465" s="7" t="str">
        <f>"34542021112017123351330"</f>
        <v>34542021112017123351330</v>
      </c>
      <c r="C1465" s="7" t="s">
        <v>20</v>
      </c>
      <c r="D1465" s="7" t="str">
        <f>"温婷婷"</f>
        <v>温婷婷</v>
      </c>
      <c r="E1465" s="7" t="str">
        <f t="shared" si="102"/>
        <v>女</v>
      </c>
      <c r="F1465" s="7"/>
    </row>
    <row r="1466" spans="1:6" ht="30" customHeight="1">
      <c r="A1466" s="7">
        <v>1464</v>
      </c>
      <c r="B1466" s="7" t="str">
        <f>"34542021112017530851347"</f>
        <v>34542021112017530851347</v>
      </c>
      <c r="C1466" s="7" t="s">
        <v>20</v>
      </c>
      <c r="D1466" s="7" t="str">
        <f>"黄发玲"</f>
        <v>黄发玲</v>
      </c>
      <c r="E1466" s="7" t="str">
        <f t="shared" si="102"/>
        <v>女</v>
      </c>
      <c r="F1466" s="7"/>
    </row>
    <row r="1467" spans="1:6" ht="30" customHeight="1">
      <c r="A1467" s="7">
        <v>1465</v>
      </c>
      <c r="B1467" s="7" t="str">
        <f>"34542021112018002451349"</f>
        <v>34542021112018002451349</v>
      </c>
      <c r="C1467" s="7" t="s">
        <v>20</v>
      </c>
      <c r="D1467" s="7" t="str">
        <f>"周海东"</f>
        <v>周海东</v>
      </c>
      <c r="E1467" s="7" t="str">
        <f aca="true" t="shared" si="103" ref="E1467:E1472">"男"</f>
        <v>男</v>
      </c>
      <c r="F1467" s="7"/>
    </row>
    <row r="1468" spans="1:6" ht="30" customHeight="1">
      <c r="A1468" s="7">
        <v>1466</v>
      </c>
      <c r="B1468" s="7" t="str">
        <f>"34542021112019070151368"</f>
        <v>34542021112019070151368</v>
      </c>
      <c r="C1468" s="7" t="s">
        <v>20</v>
      </c>
      <c r="D1468" s="7" t="str">
        <f>"王桂花"</f>
        <v>王桂花</v>
      </c>
      <c r="E1468" s="7" t="str">
        <f aca="true" t="shared" si="104" ref="E1468:E1471">"女"</f>
        <v>女</v>
      </c>
      <c r="F1468" s="7"/>
    </row>
    <row r="1469" spans="1:6" ht="30" customHeight="1">
      <c r="A1469" s="7">
        <v>1467</v>
      </c>
      <c r="B1469" s="7" t="str">
        <f>"34542021112019492751377"</f>
        <v>34542021112019492751377</v>
      </c>
      <c r="C1469" s="7" t="s">
        <v>20</v>
      </c>
      <c r="D1469" s="7" t="str">
        <f>"侯秀梅"</f>
        <v>侯秀梅</v>
      </c>
      <c r="E1469" s="7" t="str">
        <f t="shared" si="104"/>
        <v>女</v>
      </c>
      <c r="F1469" s="7"/>
    </row>
    <row r="1470" spans="1:6" ht="30" customHeight="1">
      <c r="A1470" s="7">
        <v>1468</v>
      </c>
      <c r="B1470" s="7" t="str">
        <f>"34542021112020523751401"</f>
        <v>34542021112020523751401</v>
      </c>
      <c r="C1470" s="7" t="s">
        <v>20</v>
      </c>
      <c r="D1470" s="7" t="str">
        <f>"赖科酉"</f>
        <v>赖科酉</v>
      </c>
      <c r="E1470" s="7" t="str">
        <f t="shared" si="103"/>
        <v>男</v>
      </c>
      <c r="F1470" s="7"/>
    </row>
    <row r="1471" spans="1:6" ht="30" customHeight="1">
      <c r="A1471" s="7">
        <v>1469</v>
      </c>
      <c r="B1471" s="7" t="str">
        <f>"34542021112022003051424"</f>
        <v>34542021112022003051424</v>
      </c>
      <c r="C1471" s="7" t="s">
        <v>20</v>
      </c>
      <c r="D1471" s="7" t="str">
        <f>"杨珊珊"</f>
        <v>杨珊珊</v>
      </c>
      <c r="E1471" s="7" t="str">
        <f t="shared" si="104"/>
        <v>女</v>
      </c>
      <c r="F1471" s="7"/>
    </row>
    <row r="1472" spans="1:6" ht="30" customHeight="1">
      <c r="A1472" s="7">
        <v>1470</v>
      </c>
      <c r="B1472" s="7" t="str">
        <f>"34542021112023083051446"</f>
        <v>34542021112023083051446</v>
      </c>
      <c r="C1472" s="7" t="s">
        <v>20</v>
      </c>
      <c r="D1472" s="7" t="str">
        <f>"钟育堤"</f>
        <v>钟育堤</v>
      </c>
      <c r="E1472" s="7" t="str">
        <f t="shared" si="103"/>
        <v>男</v>
      </c>
      <c r="F1472" s="7"/>
    </row>
    <row r="1473" spans="1:6" ht="30" customHeight="1">
      <c r="A1473" s="7">
        <v>1471</v>
      </c>
      <c r="B1473" s="7" t="str">
        <f>"34542021112023104551447"</f>
        <v>34542021112023104551447</v>
      </c>
      <c r="C1473" s="7" t="s">
        <v>20</v>
      </c>
      <c r="D1473" s="7" t="str">
        <f>"陈笔愉"</f>
        <v>陈笔愉</v>
      </c>
      <c r="E1473" s="7" t="str">
        <f aca="true" t="shared" si="105" ref="E1473:E1476">"女"</f>
        <v>女</v>
      </c>
      <c r="F1473" s="7"/>
    </row>
    <row r="1474" spans="1:6" ht="30" customHeight="1">
      <c r="A1474" s="7">
        <v>1472</v>
      </c>
      <c r="B1474" s="7" t="str">
        <f>"34542021112108555551466"</f>
        <v>34542021112108555551466</v>
      </c>
      <c r="C1474" s="7" t="s">
        <v>20</v>
      </c>
      <c r="D1474" s="7" t="str">
        <f>"陈秋美"</f>
        <v>陈秋美</v>
      </c>
      <c r="E1474" s="7" t="str">
        <f t="shared" si="105"/>
        <v>女</v>
      </c>
      <c r="F1474" s="7"/>
    </row>
    <row r="1475" spans="1:6" ht="30" customHeight="1">
      <c r="A1475" s="7">
        <v>1473</v>
      </c>
      <c r="B1475" s="7" t="str">
        <f>"34542021112109230651476"</f>
        <v>34542021112109230651476</v>
      </c>
      <c r="C1475" s="7" t="s">
        <v>20</v>
      </c>
      <c r="D1475" s="7" t="str">
        <f>"吴建爱"</f>
        <v>吴建爱</v>
      </c>
      <c r="E1475" s="7" t="str">
        <f t="shared" si="105"/>
        <v>女</v>
      </c>
      <c r="F1475" s="7"/>
    </row>
    <row r="1476" spans="1:6" ht="30" customHeight="1">
      <c r="A1476" s="7">
        <v>1474</v>
      </c>
      <c r="B1476" s="7" t="str">
        <f>"34542021112109474051480"</f>
        <v>34542021112109474051480</v>
      </c>
      <c r="C1476" s="7" t="s">
        <v>20</v>
      </c>
      <c r="D1476" s="7" t="str">
        <f>"符帅兵"</f>
        <v>符帅兵</v>
      </c>
      <c r="E1476" s="7" t="str">
        <f t="shared" si="105"/>
        <v>女</v>
      </c>
      <c r="F1476" s="7"/>
    </row>
    <row r="1477" spans="1:6" ht="30" customHeight="1">
      <c r="A1477" s="7">
        <v>1475</v>
      </c>
      <c r="B1477" s="7" t="str">
        <f>"34542021112110242051493"</f>
        <v>34542021112110242051493</v>
      </c>
      <c r="C1477" s="7" t="s">
        <v>20</v>
      </c>
      <c r="D1477" s="7" t="str">
        <f>"朱立强"</f>
        <v>朱立强</v>
      </c>
      <c r="E1477" s="7" t="str">
        <f>"男"</f>
        <v>男</v>
      </c>
      <c r="F1477" s="7"/>
    </row>
    <row r="1478" spans="1:6" ht="30" customHeight="1">
      <c r="A1478" s="7">
        <v>1476</v>
      </c>
      <c r="B1478" s="7" t="str">
        <f>"34542021112110452751499"</f>
        <v>34542021112110452751499</v>
      </c>
      <c r="C1478" s="7" t="s">
        <v>20</v>
      </c>
      <c r="D1478" s="7" t="str">
        <f>"许小娜"</f>
        <v>许小娜</v>
      </c>
      <c r="E1478" s="7" t="str">
        <f aca="true" t="shared" si="106" ref="E1478:E1481">"女"</f>
        <v>女</v>
      </c>
      <c r="F1478" s="7"/>
    </row>
    <row r="1479" spans="1:6" ht="30" customHeight="1">
      <c r="A1479" s="7">
        <v>1477</v>
      </c>
      <c r="B1479" s="7" t="str">
        <f>"34542021112110514451500"</f>
        <v>34542021112110514451500</v>
      </c>
      <c r="C1479" s="7" t="s">
        <v>20</v>
      </c>
      <c r="D1479" s="7" t="str">
        <f>"吴振带"</f>
        <v>吴振带</v>
      </c>
      <c r="E1479" s="7" t="str">
        <f t="shared" si="106"/>
        <v>女</v>
      </c>
      <c r="F1479" s="7"/>
    </row>
    <row r="1480" spans="1:6" ht="30" customHeight="1">
      <c r="A1480" s="7">
        <v>1478</v>
      </c>
      <c r="B1480" s="7" t="str">
        <f>"34542021112111114651506"</f>
        <v>34542021112111114651506</v>
      </c>
      <c r="C1480" s="7" t="s">
        <v>20</v>
      </c>
      <c r="D1480" s="7" t="str">
        <f>"薛凤焕"</f>
        <v>薛凤焕</v>
      </c>
      <c r="E1480" s="7" t="str">
        <f t="shared" si="106"/>
        <v>女</v>
      </c>
      <c r="F1480" s="7"/>
    </row>
    <row r="1481" spans="1:6" ht="30" customHeight="1">
      <c r="A1481" s="7">
        <v>1479</v>
      </c>
      <c r="B1481" s="7" t="str">
        <f>"34542021112111250051511"</f>
        <v>34542021112111250051511</v>
      </c>
      <c r="C1481" s="7" t="s">
        <v>20</v>
      </c>
      <c r="D1481" s="7" t="str">
        <f>"吴彩逢"</f>
        <v>吴彩逢</v>
      </c>
      <c r="E1481" s="7" t="str">
        <f t="shared" si="106"/>
        <v>女</v>
      </c>
      <c r="F1481" s="7"/>
    </row>
    <row r="1482" spans="1:6" ht="30" customHeight="1">
      <c r="A1482" s="7">
        <v>1480</v>
      </c>
      <c r="B1482" s="7" t="str">
        <f>"34542021112112445651537"</f>
        <v>34542021112112445651537</v>
      </c>
      <c r="C1482" s="7" t="s">
        <v>20</v>
      </c>
      <c r="D1482" s="7" t="str">
        <f>"赵庆科"</f>
        <v>赵庆科</v>
      </c>
      <c r="E1482" s="7" t="str">
        <f>"男"</f>
        <v>男</v>
      </c>
      <c r="F1482" s="7"/>
    </row>
    <row r="1483" spans="1:6" ht="30" customHeight="1">
      <c r="A1483" s="7">
        <v>1481</v>
      </c>
      <c r="B1483" s="7" t="str">
        <f>"34542021112113362851559"</f>
        <v>34542021112113362851559</v>
      </c>
      <c r="C1483" s="7" t="s">
        <v>20</v>
      </c>
      <c r="D1483" s="7" t="str">
        <f>"韩月波"</f>
        <v>韩月波</v>
      </c>
      <c r="E1483" s="7" t="str">
        <f aca="true" t="shared" si="107" ref="E1483:E1488">"女"</f>
        <v>女</v>
      </c>
      <c r="F1483" s="7"/>
    </row>
    <row r="1484" spans="1:6" ht="30" customHeight="1">
      <c r="A1484" s="7">
        <v>1482</v>
      </c>
      <c r="B1484" s="7" t="str">
        <f>"34542021112114524551572"</f>
        <v>34542021112114524551572</v>
      </c>
      <c r="C1484" s="7" t="s">
        <v>20</v>
      </c>
      <c r="D1484" s="7" t="str">
        <f>"刘桂玲"</f>
        <v>刘桂玲</v>
      </c>
      <c r="E1484" s="7" t="str">
        <f t="shared" si="107"/>
        <v>女</v>
      </c>
      <c r="F1484" s="7"/>
    </row>
    <row r="1485" spans="1:6" ht="30" customHeight="1">
      <c r="A1485" s="7">
        <v>1483</v>
      </c>
      <c r="B1485" s="7" t="str">
        <f>"34542021112115104151578"</f>
        <v>34542021112115104151578</v>
      </c>
      <c r="C1485" s="7" t="s">
        <v>20</v>
      </c>
      <c r="D1485" s="7" t="str">
        <f>"刘桃育"</f>
        <v>刘桃育</v>
      </c>
      <c r="E1485" s="7" t="str">
        <f t="shared" si="107"/>
        <v>女</v>
      </c>
      <c r="F1485" s="7"/>
    </row>
    <row r="1486" spans="1:6" ht="30" customHeight="1">
      <c r="A1486" s="7">
        <v>1484</v>
      </c>
      <c r="B1486" s="7" t="str">
        <f>"34542021112115181051581"</f>
        <v>34542021112115181051581</v>
      </c>
      <c r="C1486" s="7" t="s">
        <v>20</v>
      </c>
      <c r="D1486" s="7" t="str">
        <f>"薛归乾"</f>
        <v>薛归乾</v>
      </c>
      <c r="E1486" s="7" t="str">
        <f t="shared" si="107"/>
        <v>女</v>
      </c>
      <c r="F1486" s="7"/>
    </row>
    <row r="1487" spans="1:6" ht="30" customHeight="1">
      <c r="A1487" s="7">
        <v>1485</v>
      </c>
      <c r="B1487" s="7" t="str">
        <f>"34542021112116081951592"</f>
        <v>34542021112116081951592</v>
      </c>
      <c r="C1487" s="7" t="s">
        <v>20</v>
      </c>
      <c r="D1487" s="7" t="str">
        <f>"麦振兰"</f>
        <v>麦振兰</v>
      </c>
      <c r="E1487" s="7" t="str">
        <f t="shared" si="107"/>
        <v>女</v>
      </c>
      <c r="F1487" s="7"/>
    </row>
    <row r="1488" spans="1:6" ht="30" customHeight="1">
      <c r="A1488" s="7">
        <v>1486</v>
      </c>
      <c r="B1488" s="7" t="str">
        <f>"34542021112116585551614"</f>
        <v>34542021112116585551614</v>
      </c>
      <c r="C1488" s="7" t="s">
        <v>20</v>
      </c>
      <c r="D1488" s="7" t="str">
        <f>"麦明珍"</f>
        <v>麦明珍</v>
      </c>
      <c r="E1488" s="7" t="str">
        <f t="shared" si="107"/>
        <v>女</v>
      </c>
      <c r="F1488" s="7"/>
    </row>
    <row r="1489" spans="1:6" ht="30" customHeight="1">
      <c r="A1489" s="7">
        <v>1487</v>
      </c>
      <c r="B1489" s="7" t="str">
        <f>"34542021112117545951629"</f>
        <v>34542021112117545951629</v>
      </c>
      <c r="C1489" s="7" t="s">
        <v>20</v>
      </c>
      <c r="D1489" s="7" t="str">
        <f>"虞得水"</f>
        <v>虞得水</v>
      </c>
      <c r="E1489" s="7" t="str">
        <f>"男"</f>
        <v>男</v>
      </c>
      <c r="F1489" s="7"/>
    </row>
    <row r="1490" spans="1:6" ht="30" customHeight="1">
      <c r="A1490" s="7">
        <v>1488</v>
      </c>
      <c r="B1490" s="7" t="str">
        <f>"34542021112119442951661"</f>
        <v>34542021112119442951661</v>
      </c>
      <c r="C1490" s="7" t="s">
        <v>20</v>
      </c>
      <c r="D1490" s="7" t="str">
        <f>"温铂茎"</f>
        <v>温铂茎</v>
      </c>
      <c r="E1490" s="7" t="str">
        <f aca="true" t="shared" si="108" ref="E1490:E1503">"女"</f>
        <v>女</v>
      </c>
      <c r="F1490" s="7"/>
    </row>
    <row r="1491" spans="1:6" ht="30" customHeight="1">
      <c r="A1491" s="7">
        <v>1489</v>
      </c>
      <c r="B1491" s="7" t="str">
        <f>"34542021112120425051674"</f>
        <v>34542021112120425051674</v>
      </c>
      <c r="C1491" s="7" t="s">
        <v>20</v>
      </c>
      <c r="D1491" s="7" t="str">
        <f>"李裕华"</f>
        <v>李裕华</v>
      </c>
      <c r="E1491" s="7" t="str">
        <f>"男"</f>
        <v>男</v>
      </c>
      <c r="F1491" s="7"/>
    </row>
    <row r="1492" spans="1:6" ht="30" customHeight="1">
      <c r="A1492" s="7">
        <v>1490</v>
      </c>
      <c r="B1492" s="7" t="str">
        <f>"34542021112121161051689"</f>
        <v>34542021112121161051689</v>
      </c>
      <c r="C1492" s="7" t="s">
        <v>20</v>
      </c>
      <c r="D1492" s="7" t="str">
        <f>"徐木交"</f>
        <v>徐木交</v>
      </c>
      <c r="E1492" s="7" t="str">
        <f t="shared" si="108"/>
        <v>女</v>
      </c>
      <c r="F1492" s="7"/>
    </row>
    <row r="1493" spans="1:6" ht="30" customHeight="1">
      <c r="A1493" s="7">
        <v>1491</v>
      </c>
      <c r="B1493" s="7" t="str">
        <f>"34542021112121254251692"</f>
        <v>34542021112121254251692</v>
      </c>
      <c r="C1493" s="7" t="s">
        <v>20</v>
      </c>
      <c r="D1493" s="7" t="str">
        <f>"李秀彩"</f>
        <v>李秀彩</v>
      </c>
      <c r="E1493" s="7" t="str">
        <f t="shared" si="108"/>
        <v>女</v>
      </c>
      <c r="F1493" s="7"/>
    </row>
    <row r="1494" spans="1:6" ht="30" customHeight="1">
      <c r="A1494" s="7">
        <v>1492</v>
      </c>
      <c r="B1494" s="7" t="str">
        <f>"34542021112121314251695"</f>
        <v>34542021112121314251695</v>
      </c>
      <c r="C1494" s="7" t="s">
        <v>20</v>
      </c>
      <c r="D1494" s="7" t="str">
        <f>"吴美婷"</f>
        <v>吴美婷</v>
      </c>
      <c r="E1494" s="7" t="str">
        <f t="shared" si="108"/>
        <v>女</v>
      </c>
      <c r="F1494" s="7"/>
    </row>
    <row r="1495" spans="1:6" ht="30" customHeight="1">
      <c r="A1495" s="7">
        <v>1493</v>
      </c>
      <c r="B1495" s="7" t="str">
        <f>"34542021112121593451706"</f>
        <v>34542021112121593451706</v>
      </c>
      <c r="C1495" s="7" t="s">
        <v>20</v>
      </c>
      <c r="D1495" s="7" t="str">
        <f>"黎代丹"</f>
        <v>黎代丹</v>
      </c>
      <c r="E1495" s="7" t="str">
        <f t="shared" si="108"/>
        <v>女</v>
      </c>
      <c r="F1495" s="7"/>
    </row>
    <row r="1496" spans="1:6" ht="30" customHeight="1">
      <c r="A1496" s="7">
        <v>1494</v>
      </c>
      <c r="B1496" s="7" t="str">
        <f>"34542021112122391451717"</f>
        <v>34542021112122391451717</v>
      </c>
      <c r="C1496" s="7" t="s">
        <v>20</v>
      </c>
      <c r="D1496" s="7" t="str">
        <f>"陆珊"</f>
        <v>陆珊</v>
      </c>
      <c r="E1496" s="7" t="str">
        <f t="shared" si="108"/>
        <v>女</v>
      </c>
      <c r="F1496" s="7"/>
    </row>
    <row r="1497" spans="1:6" ht="30" customHeight="1">
      <c r="A1497" s="7">
        <v>1495</v>
      </c>
      <c r="B1497" s="7" t="str">
        <f>"34542021112123412951727"</f>
        <v>34542021112123412951727</v>
      </c>
      <c r="C1497" s="7" t="s">
        <v>20</v>
      </c>
      <c r="D1497" s="7" t="str">
        <f>"余业娟"</f>
        <v>余业娟</v>
      </c>
      <c r="E1497" s="7" t="str">
        <f t="shared" si="108"/>
        <v>女</v>
      </c>
      <c r="F1497" s="7"/>
    </row>
    <row r="1498" spans="1:6" ht="30" customHeight="1">
      <c r="A1498" s="7">
        <v>1496</v>
      </c>
      <c r="B1498" s="7" t="str">
        <f>"34542021112208383651745"</f>
        <v>34542021112208383651745</v>
      </c>
      <c r="C1498" s="7" t="s">
        <v>20</v>
      </c>
      <c r="D1498" s="7" t="str">
        <f>"何爱芳"</f>
        <v>何爱芳</v>
      </c>
      <c r="E1498" s="7" t="str">
        <f t="shared" si="108"/>
        <v>女</v>
      </c>
      <c r="F1498" s="7"/>
    </row>
    <row r="1499" spans="1:6" ht="30" customHeight="1">
      <c r="A1499" s="7">
        <v>1497</v>
      </c>
      <c r="B1499" s="7" t="str">
        <f>"34542021112208405051746"</f>
        <v>34542021112208405051746</v>
      </c>
      <c r="C1499" s="7" t="s">
        <v>20</v>
      </c>
      <c r="D1499" s="7" t="str">
        <f>"许秀英"</f>
        <v>许秀英</v>
      </c>
      <c r="E1499" s="7" t="str">
        <f t="shared" si="108"/>
        <v>女</v>
      </c>
      <c r="F1499" s="7"/>
    </row>
    <row r="1500" spans="1:6" ht="30" customHeight="1">
      <c r="A1500" s="7">
        <v>1498</v>
      </c>
      <c r="B1500" s="7" t="str">
        <f>"34542021112208445351747"</f>
        <v>34542021112208445351747</v>
      </c>
      <c r="C1500" s="7" t="s">
        <v>20</v>
      </c>
      <c r="D1500" s="7" t="str">
        <f>"李丽霞"</f>
        <v>李丽霞</v>
      </c>
      <c r="E1500" s="7" t="str">
        <f t="shared" si="108"/>
        <v>女</v>
      </c>
      <c r="F1500" s="7"/>
    </row>
    <row r="1501" spans="1:6" ht="30" customHeight="1">
      <c r="A1501" s="7">
        <v>1499</v>
      </c>
      <c r="B1501" s="7" t="str">
        <f>"34542021112208450851748"</f>
        <v>34542021112208450851748</v>
      </c>
      <c r="C1501" s="7" t="s">
        <v>20</v>
      </c>
      <c r="D1501" s="7" t="str">
        <f>"陈玉花"</f>
        <v>陈玉花</v>
      </c>
      <c r="E1501" s="7" t="str">
        <f t="shared" si="108"/>
        <v>女</v>
      </c>
      <c r="F1501" s="7"/>
    </row>
    <row r="1502" spans="1:6" ht="30" customHeight="1">
      <c r="A1502" s="7">
        <v>1500</v>
      </c>
      <c r="B1502" s="7" t="str">
        <f>"34542021112209104051765"</f>
        <v>34542021112209104051765</v>
      </c>
      <c r="C1502" s="7" t="s">
        <v>20</v>
      </c>
      <c r="D1502" s="7" t="str">
        <f>"吴梦玉"</f>
        <v>吴梦玉</v>
      </c>
      <c r="E1502" s="7" t="str">
        <f t="shared" si="108"/>
        <v>女</v>
      </c>
      <c r="F1502" s="7"/>
    </row>
    <row r="1503" spans="1:6" ht="30" customHeight="1">
      <c r="A1503" s="7">
        <v>1501</v>
      </c>
      <c r="B1503" s="7" t="str">
        <f>"34542021112209183751774"</f>
        <v>34542021112209183751774</v>
      </c>
      <c r="C1503" s="7" t="s">
        <v>20</v>
      </c>
      <c r="D1503" s="7" t="str">
        <f>"骆柳女"</f>
        <v>骆柳女</v>
      </c>
      <c r="E1503" s="7" t="str">
        <f t="shared" si="108"/>
        <v>女</v>
      </c>
      <c r="F1503" s="7"/>
    </row>
    <row r="1504" spans="1:6" ht="30" customHeight="1">
      <c r="A1504" s="7">
        <v>1502</v>
      </c>
      <c r="B1504" s="7" t="str">
        <f>"34542021112209205751776"</f>
        <v>34542021112209205751776</v>
      </c>
      <c r="C1504" s="7" t="s">
        <v>20</v>
      </c>
      <c r="D1504" s="7" t="str">
        <f>"王世闳"</f>
        <v>王世闳</v>
      </c>
      <c r="E1504" s="7" t="str">
        <f>"男"</f>
        <v>男</v>
      </c>
      <c r="F1504" s="7"/>
    </row>
    <row r="1505" spans="1:6" ht="30" customHeight="1">
      <c r="A1505" s="7">
        <v>1503</v>
      </c>
      <c r="B1505" s="7" t="str">
        <f>"34542021112209241451778"</f>
        <v>34542021112209241451778</v>
      </c>
      <c r="C1505" s="7" t="s">
        <v>20</v>
      </c>
      <c r="D1505" s="7" t="str">
        <f>"黄振平"</f>
        <v>黄振平</v>
      </c>
      <c r="E1505" s="7" t="str">
        <f>"男"</f>
        <v>男</v>
      </c>
      <c r="F1505" s="7"/>
    </row>
    <row r="1506" spans="1:6" ht="30" customHeight="1">
      <c r="A1506" s="7">
        <v>1504</v>
      </c>
      <c r="B1506" s="7" t="str">
        <f>"34542021112209285351780"</f>
        <v>34542021112209285351780</v>
      </c>
      <c r="C1506" s="7" t="s">
        <v>20</v>
      </c>
      <c r="D1506" s="7" t="str">
        <f>"王永秋"</f>
        <v>王永秋</v>
      </c>
      <c r="E1506" s="7" t="str">
        <f aca="true" t="shared" si="109" ref="E1506:E1511">"女"</f>
        <v>女</v>
      </c>
      <c r="F1506" s="7"/>
    </row>
    <row r="1507" spans="1:6" ht="30" customHeight="1">
      <c r="A1507" s="7">
        <v>1505</v>
      </c>
      <c r="B1507" s="7" t="str">
        <f>"34542021112209321151782"</f>
        <v>34542021112209321151782</v>
      </c>
      <c r="C1507" s="7" t="s">
        <v>20</v>
      </c>
      <c r="D1507" s="7" t="str">
        <f>"刘美焕"</f>
        <v>刘美焕</v>
      </c>
      <c r="E1507" s="7" t="str">
        <f t="shared" si="109"/>
        <v>女</v>
      </c>
      <c r="F1507" s="7"/>
    </row>
    <row r="1508" spans="1:6" ht="30" customHeight="1">
      <c r="A1508" s="7">
        <v>1506</v>
      </c>
      <c r="B1508" s="7" t="str">
        <f>"34542021112209415651791"</f>
        <v>34542021112209415651791</v>
      </c>
      <c r="C1508" s="7" t="s">
        <v>20</v>
      </c>
      <c r="D1508" s="7" t="str">
        <f>"梁杨柳"</f>
        <v>梁杨柳</v>
      </c>
      <c r="E1508" s="7" t="str">
        <f t="shared" si="109"/>
        <v>女</v>
      </c>
      <c r="F1508" s="7"/>
    </row>
    <row r="1509" spans="1:6" ht="30" customHeight="1">
      <c r="A1509" s="7">
        <v>1507</v>
      </c>
      <c r="B1509" s="7" t="str">
        <f>"34542021112209460851795"</f>
        <v>34542021112209460851795</v>
      </c>
      <c r="C1509" s="7" t="s">
        <v>20</v>
      </c>
      <c r="D1509" s="7" t="str">
        <f>"羊勤爱"</f>
        <v>羊勤爱</v>
      </c>
      <c r="E1509" s="7" t="str">
        <f t="shared" si="109"/>
        <v>女</v>
      </c>
      <c r="F1509" s="7"/>
    </row>
    <row r="1510" spans="1:6" ht="30" customHeight="1">
      <c r="A1510" s="7">
        <v>1508</v>
      </c>
      <c r="B1510" s="7" t="str">
        <f>"34542021112209512051800"</f>
        <v>34542021112209512051800</v>
      </c>
      <c r="C1510" s="7" t="s">
        <v>20</v>
      </c>
      <c r="D1510" s="7" t="str">
        <f>"黎欢容"</f>
        <v>黎欢容</v>
      </c>
      <c r="E1510" s="7" t="str">
        <f t="shared" si="109"/>
        <v>女</v>
      </c>
      <c r="F1510" s="7"/>
    </row>
    <row r="1511" spans="1:6" ht="30" customHeight="1">
      <c r="A1511" s="7">
        <v>1509</v>
      </c>
      <c r="B1511" s="7" t="str">
        <f>"34542021112210005351810"</f>
        <v>34542021112210005351810</v>
      </c>
      <c r="C1511" s="7" t="s">
        <v>20</v>
      </c>
      <c r="D1511" s="7" t="str">
        <f>"陈芳完"</f>
        <v>陈芳完</v>
      </c>
      <c r="E1511" s="7" t="str">
        <f t="shared" si="109"/>
        <v>女</v>
      </c>
      <c r="F1511" s="7"/>
    </row>
    <row r="1512" spans="1:6" ht="30" customHeight="1">
      <c r="A1512" s="7">
        <v>1510</v>
      </c>
      <c r="B1512" s="7" t="str">
        <f>"34542021112210074651814"</f>
        <v>34542021112210074651814</v>
      </c>
      <c r="C1512" s="7" t="s">
        <v>20</v>
      </c>
      <c r="D1512" s="7" t="str">
        <f>"温镇宇"</f>
        <v>温镇宇</v>
      </c>
      <c r="E1512" s="7" t="str">
        <f>"男"</f>
        <v>男</v>
      </c>
      <c r="F1512" s="7"/>
    </row>
    <row r="1513" spans="1:6" ht="30" customHeight="1">
      <c r="A1513" s="7">
        <v>1511</v>
      </c>
      <c r="B1513" s="7" t="str">
        <f>"34542021112210104651817"</f>
        <v>34542021112210104651817</v>
      </c>
      <c r="C1513" s="7" t="s">
        <v>20</v>
      </c>
      <c r="D1513" s="7" t="str">
        <f>"羊菊玲"</f>
        <v>羊菊玲</v>
      </c>
      <c r="E1513" s="7" t="str">
        <f aca="true" t="shared" si="110" ref="E1513:E1516">"女"</f>
        <v>女</v>
      </c>
      <c r="F1513" s="7"/>
    </row>
    <row r="1514" spans="1:6" ht="30" customHeight="1">
      <c r="A1514" s="7">
        <v>1512</v>
      </c>
      <c r="B1514" s="7" t="str">
        <f>"34542021112210235951828"</f>
        <v>34542021112210235951828</v>
      </c>
      <c r="C1514" s="7" t="s">
        <v>20</v>
      </c>
      <c r="D1514" s="7" t="str">
        <f>"林春苗"</f>
        <v>林春苗</v>
      </c>
      <c r="E1514" s="7" t="str">
        <f t="shared" si="110"/>
        <v>女</v>
      </c>
      <c r="F1514" s="7"/>
    </row>
    <row r="1515" spans="1:6" ht="30" customHeight="1">
      <c r="A1515" s="7">
        <v>1513</v>
      </c>
      <c r="B1515" s="7" t="str">
        <f>"34542021112210555651856"</f>
        <v>34542021112210555651856</v>
      </c>
      <c r="C1515" s="7" t="s">
        <v>20</v>
      </c>
      <c r="D1515" s="7" t="str">
        <f>"庞美娇"</f>
        <v>庞美娇</v>
      </c>
      <c r="E1515" s="7" t="str">
        <f t="shared" si="110"/>
        <v>女</v>
      </c>
      <c r="F1515" s="7"/>
    </row>
    <row r="1516" spans="1:6" ht="30" customHeight="1">
      <c r="A1516" s="7">
        <v>1514</v>
      </c>
      <c r="B1516" s="7" t="str">
        <f>"34542021112211282951869"</f>
        <v>34542021112211282951869</v>
      </c>
      <c r="C1516" s="7" t="s">
        <v>20</v>
      </c>
      <c r="D1516" s="7" t="str">
        <f>"李香"</f>
        <v>李香</v>
      </c>
      <c r="E1516" s="7" t="str">
        <f t="shared" si="110"/>
        <v>女</v>
      </c>
      <c r="F1516" s="7"/>
    </row>
    <row r="1517" spans="1:6" ht="30" customHeight="1">
      <c r="A1517" s="7">
        <v>1515</v>
      </c>
      <c r="B1517" s="7" t="str">
        <f>"34542021112211361151874"</f>
        <v>34542021112211361151874</v>
      </c>
      <c r="C1517" s="7" t="s">
        <v>20</v>
      </c>
      <c r="D1517" s="7" t="str">
        <f>"蔡汝松"</f>
        <v>蔡汝松</v>
      </c>
      <c r="E1517" s="7" t="str">
        <f>"男"</f>
        <v>男</v>
      </c>
      <c r="F1517" s="7"/>
    </row>
    <row r="1518" spans="1:6" ht="30" customHeight="1">
      <c r="A1518" s="7">
        <v>1516</v>
      </c>
      <c r="B1518" s="7" t="str">
        <f>"34542021112211370451875"</f>
        <v>34542021112211370451875</v>
      </c>
      <c r="C1518" s="7" t="s">
        <v>20</v>
      </c>
      <c r="D1518" s="7" t="str">
        <f>"张菲菲"</f>
        <v>张菲菲</v>
      </c>
      <c r="E1518" s="7" t="str">
        <f aca="true" t="shared" si="111" ref="E1518:E1529">"女"</f>
        <v>女</v>
      </c>
      <c r="F1518" s="7"/>
    </row>
    <row r="1519" spans="1:6" ht="30" customHeight="1">
      <c r="A1519" s="7">
        <v>1517</v>
      </c>
      <c r="B1519" s="7" t="str">
        <f>"34542021112212140051896"</f>
        <v>34542021112212140051896</v>
      </c>
      <c r="C1519" s="7" t="s">
        <v>20</v>
      </c>
      <c r="D1519" s="7" t="str">
        <f>"万江慧"</f>
        <v>万江慧</v>
      </c>
      <c r="E1519" s="7" t="str">
        <f t="shared" si="111"/>
        <v>女</v>
      </c>
      <c r="F1519" s="7"/>
    </row>
    <row r="1520" spans="1:6" ht="30" customHeight="1">
      <c r="A1520" s="7">
        <v>1518</v>
      </c>
      <c r="B1520" s="7" t="str">
        <f>"34542021112212140551897"</f>
        <v>34542021112212140551897</v>
      </c>
      <c r="C1520" s="7" t="s">
        <v>20</v>
      </c>
      <c r="D1520" s="7" t="str">
        <f>"马瑜"</f>
        <v>马瑜</v>
      </c>
      <c r="E1520" s="7" t="str">
        <f t="shared" si="111"/>
        <v>女</v>
      </c>
      <c r="F1520" s="7"/>
    </row>
    <row r="1521" spans="1:6" ht="30" customHeight="1">
      <c r="A1521" s="7">
        <v>1519</v>
      </c>
      <c r="B1521" s="7" t="str">
        <f>"34542021112212192951899"</f>
        <v>34542021112212192951899</v>
      </c>
      <c r="C1521" s="7" t="s">
        <v>20</v>
      </c>
      <c r="D1521" s="7" t="str">
        <f>"王雅芳"</f>
        <v>王雅芳</v>
      </c>
      <c r="E1521" s="7" t="str">
        <f t="shared" si="111"/>
        <v>女</v>
      </c>
      <c r="F1521" s="7"/>
    </row>
    <row r="1522" spans="1:6" ht="30" customHeight="1">
      <c r="A1522" s="7">
        <v>1520</v>
      </c>
      <c r="B1522" s="7" t="str">
        <f>"34542021112212453951905"</f>
        <v>34542021112212453951905</v>
      </c>
      <c r="C1522" s="7" t="s">
        <v>20</v>
      </c>
      <c r="D1522" s="7" t="str">
        <f>"张金凤"</f>
        <v>张金凤</v>
      </c>
      <c r="E1522" s="7" t="str">
        <f t="shared" si="111"/>
        <v>女</v>
      </c>
      <c r="F1522" s="7"/>
    </row>
    <row r="1523" spans="1:6" ht="30" customHeight="1">
      <c r="A1523" s="7">
        <v>1521</v>
      </c>
      <c r="B1523" s="7" t="str">
        <f>"34542021112213053951913"</f>
        <v>34542021112213053951913</v>
      </c>
      <c r="C1523" s="7" t="s">
        <v>20</v>
      </c>
      <c r="D1523" s="7" t="str">
        <f>"赵文燕"</f>
        <v>赵文燕</v>
      </c>
      <c r="E1523" s="7" t="str">
        <f t="shared" si="111"/>
        <v>女</v>
      </c>
      <c r="F1523" s="7"/>
    </row>
    <row r="1524" spans="1:6" ht="30" customHeight="1">
      <c r="A1524" s="7">
        <v>1522</v>
      </c>
      <c r="B1524" s="7" t="str">
        <f>"34542021112214411151940"</f>
        <v>34542021112214411151940</v>
      </c>
      <c r="C1524" s="7" t="s">
        <v>20</v>
      </c>
      <c r="D1524" s="7" t="str">
        <f>"符达基"</f>
        <v>符达基</v>
      </c>
      <c r="E1524" s="7" t="str">
        <f t="shared" si="111"/>
        <v>女</v>
      </c>
      <c r="F1524" s="7"/>
    </row>
    <row r="1525" spans="1:6" ht="30" customHeight="1">
      <c r="A1525" s="7">
        <v>1523</v>
      </c>
      <c r="B1525" s="7" t="str">
        <f>"34542021112214502951946"</f>
        <v>34542021112214502951946</v>
      </c>
      <c r="C1525" s="7" t="s">
        <v>20</v>
      </c>
      <c r="D1525" s="7" t="str">
        <f>"唐有欣"</f>
        <v>唐有欣</v>
      </c>
      <c r="E1525" s="7" t="str">
        <f t="shared" si="111"/>
        <v>女</v>
      </c>
      <c r="F1525" s="7"/>
    </row>
    <row r="1526" spans="1:6" ht="30" customHeight="1">
      <c r="A1526" s="7">
        <v>1524</v>
      </c>
      <c r="B1526" s="7" t="str">
        <f>"34542021112215314451972"</f>
        <v>34542021112215314451972</v>
      </c>
      <c r="C1526" s="7" t="s">
        <v>20</v>
      </c>
      <c r="D1526" s="7" t="str">
        <f>"王颖"</f>
        <v>王颖</v>
      </c>
      <c r="E1526" s="7" t="str">
        <f t="shared" si="111"/>
        <v>女</v>
      </c>
      <c r="F1526" s="7"/>
    </row>
    <row r="1527" spans="1:6" ht="30" customHeight="1">
      <c r="A1527" s="7">
        <v>1525</v>
      </c>
      <c r="B1527" s="7" t="str">
        <f>"34542021112215410651976"</f>
        <v>34542021112215410651976</v>
      </c>
      <c r="C1527" s="7" t="s">
        <v>20</v>
      </c>
      <c r="D1527" s="7" t="str">
        <f>"周乐涯"</f>
        <v>周乐涯</v>
      </c>
      <c r="E1527" s="7" t="str">
        <f t="shared" si="111"/>
        <v>女</v>
      </c>
      <c r="F1527" s="7"/>
    </row>
    <row r="1528" spans="1:6" ht="30" customHeight="1">
      <c r="A1528" s="7">
        <v>1526</v>
      </c>
      <c r="B1528" s="7" t="str">
        <f>"34542021112215443651980"</f>
        <v>34542021112215443651980</v>
      </c>
      <c r="C1528" s="7" t="s">
        <v>20</v>
      </c>
      <c r="D1528" s="7" t="str">
        <f>"潘福女"</f>
        <v>潘福女</v>
      </c>
      <c r="E1528" s="7" t="str">
        <f t="shared" si="111"/>
        <v>女</v>
      </c>
      <c r="F1528" s="7"/>
    </row>
    <row r="1529" spans="1:6" ht="30" customHeight="1">
      <c r="A1529" s="7">
        <v>1527</v>
      </c>
      <c r="B1529" s="7" t="str">
        <f>"34542021112215465051981"</f>
        <v>34542021112215465051981</v>
      </c>
      <c r="C1529" s="7" t="s">
        <v>20</v>
      </c>
      <c r="D1529" s="7" t="str">
        <f>"黄庆楼"</f>
        <v>黄庆楼</v>
      </c>
      <c r="E1529" s="7" t="str">
        <f t="shared" si="111"/>
        <v>女</v>
      </c>
      <c r="F1529" s="7"/>
    </row>
    <row r="1530" spans="1:6" ht="30" customHeight="1">
      <c r="A1530" s="7">
        <v>1528</v>
      </c>
      <c r="B1530" s="7" t="str">
        <f>"34542021112216304152012"</f>
        <v>34542021112216304152012</v>
      </c>
      <c r="C1530" s="7" t="s">
        <v>20</v>
      </c>
      <c r="D1530" s="7" t="str">
        <f>"陈永亮"</f>
        <v>陈永亮</v>
      </c>
      <c r="E1530" s="7" t="str">
        <f aca="true" t="shared" si="112" ref="E1530:E1532">"男"</f>
        <v>男</v>
      </c>
      <c r="F1530" s="7"/>
    </row>
    <row r="1531" spans="1:6" ht="30" customHeight="1">
      <c r="A1531" s="7">
        <v>1529</v>
      </c>
      <c r="B1531" s="7" t="str">
        <f>"34542021112216320552014"</f>
        <v>34542021112216320552014</v>
      </c>
      <c r="C1531" s="7" t="s">
        <v>20</v>
      </c>
      <c r="D1531" s="7" t="str">
        <f>"李海裕"</f>
        <v>李海裕</v>
      </c>
      <c r="E1531" s="7" t="str">
        <f t="shared" si="112"/>
        <v>男</v>
      </c>
      <c r="F1531" s="7"/>
    </row>
    <row r="1532" spans="1:6" ht="30" customHeight="1">
      <c r="A1532" s="7">
        <v>1530</v>
      </c>
      <c r="B1532" s="7" t="str">
        <f>"34542021112216485252024"</f>
        <v>34542021112216485252024</v>
      </c>
      <c r="C1532" s="7" t="s">
        <v>20</v>
      </c>
      <c r="D1532" s="7" t="str">
        <f>"罗巍"</f>
        <v>罗巍</v>
      </c>
      <c r="E1532" s="7" t="str">
        <f t="shared" si="112"/>
        <v>男</v>
      </c>
      <c r="F1532" s="7"/>
    </row>
    <row r="1533" spans="1:6" ht="30" customHeight="1">
      <c r="A1533" s="7">
        <v>1531</v>
      </c>
      <c r="B1533" s="7" t="str">
        <f>"34542021112217034252030"</f>
        <v>34542021112217034252030</v>
      </c>
      <c r="C1533" s="7" t="s">
        <v>20</v>
      </c>
      <c r="D1533" s="7" t="str">
        <f>"陈丽葵"</f>
        <v>陈丽葵</v>
      </c>
      <c r="E1533" s="7" t="str">
        <f aca="true" t="shared" si="113" ref="E1533:E1536">"女"</f>
        <v>女</v>
      </c>
      <c r="F1533" s="7"/>
    </row>
    <row r="1534" spans="1:6" ht="30" customHeight="1">
      <c r="A1534" s="7">
        <v>1532</v>
      </c>
      <c r="B1534" s="7" t="str">
        <f>"34542021112217102852033"</f>
        <v>34542021112217102852033</v>
      </c>
      <c r="C1534" s="7" t="s">
        <v>20</v>
      </c>
      <c r="D1534" s="7" t="str">
        <f>"邓力豪"</f>
        <v>邓力豪</v>
      </c>
      <c r="E1534" s="7" t="str">
        <f>"男"</f>
        <v>男</v>
      </c>
      <c r="F1534" s="7"/>
    </row>
    <row r="1535" spans="1:6" ht="30" customHeight="1">
      <c r="A1535" s="7">
        <v>1533</v>
      </c>
      <c r="B1535" s="7" t="str">
        <f>"34542021112217561152060"</f>
        <v>34542021112217561152060</v>
      </c>
      <c r="C1535" s="7" t="s">
        <v>20</v>
      </c>
      <c r="D1535" s="7" t="str">
        <f>"唐玉秀"</f>
        <v>唐玉秀</v>
      </c>
      <c r="E1535" s="7" t="str">
        <f t="shared" si="113"/>
        <v>女</v>
      </c>
      <c r="F1535" s="7"/>
    </row>
    <row r="1536" spans="1:6" ht="30" customHeight="1">
      <c r="A1536" s="7">
        <v>1534</v>
      </c>
      <c r="B1536" s="7" t="str">
        <f>"34542021112218580652078"</f>
        <v>34542021112218580652078</v>
      </c>
      <c r="C1536" s="7" t="s">
        <v>20</v>
      </c>
      <c r="D1536" s="7" t="str">
        <f>"陈定蕾"</f>
        <v>陈定蕾</v>
      </c>
      <c r="E1536" s="7" t="str">
        <f t="shared" si="113"/>
        <v>女</v>
      </c>
      <c r="F1536" s="7"/>
    </row>
    <row r="1537" spans="1:6" ht="30" customHeight="1">
      <c r="A1537" s="7">
        <v>1535</v>
      </c>
      <c r="B1537" s="7" t="str">
        <f>"34542021112219171952085"</f>
        <v>34542021112219171952085</v>
      </c>
      <c r="C1537" s="7" t="s">
        <v>20</v>
      </c>
      <c r="D1537" s="7" t="str">
        <f>"胡绍明"</f>
        <v>胡绍明</v>
      </c>
      <c r="E1537" s="7" t="str">
        <f>"男"</f>
        <v>男</v>
      </c>
      <c r="F1537" s="7"/>
    </row>
    <row r="1538" spans="1:6" ht="30" customHeight="1">
      <c r="A1538" s="7">
        <v>1536</v>
      </c>
      <c r="B1538" s="7" t="str">
        <f>"34542021112219212352087"</f>
        <v>34542021112219212352087</v>
      </c>
      <c r="C1538" s="7" t="s">
        <v>20</v>
      </c>
      <c r="D1538" s="7" t="str">
        <f>"钟东娴"</f>
        <v>钟东娴</v>
      </c>
      <c r="E1538" s="7" t="str">
        <f aca="true" t="shared" si="114" ref="E1538:E1543">"女"</f>
        <v>女</v>
      </c>
      <c r="F1538" s="7"/>
    </row>
    <row r="1539" spans="1:6" ht="30" customHeight="1">
      <c r="A1539" s="7">
        <v>1537</v>
      </c>
      <c r="B1539" s="7" t="str">
        <f>"34542021112219444452094"</f>
        <v>34542021112219444452094</v>
      </c>
      <c r="C1539" s="7" t="s">
        <v>20</v>
      </c>
      <c r="D1539" s="7" t="str">
        <f>"符素茜"</f>
        <v>符素茜</v>
      </c>
      <c r="E1539" s="7" t="str">
        <f t="shared" si="114"/>
        <v>女</v>
      </c>
      <c r="F1539" s="7"/>
    </row>
    <row r="1540" spans="1:6" ht="30" customHeight="1">
      <c r="A1540" s="7">
        <v>1538</v>
      </c>
      <c r="B1540" s="7" t="str">
        <f>"34542021112219594552100"</f>
        <v>34542021112219594552100</v>
      </c>
      <c r="C1540" s="7" t="s">
        <v>20</v>
      </c>
      <c r="D1540" s="7" t="str">
        <f>"陈婆福"</f>
        <v>陈婆福</v>
      </c>
      <c r="E1540" s="7" t="str">
        <f t="shared" si="114"/>
        <v>女</v>
      </c>
      <c r="F1540" s="7"/>
    </row>
    <row r="1541" spans="1:6" ht="30" customHeight="1">
      <c r="A1541" s="7">
        <v>1539</v>
      </c>
      <c r="B1541" s="7" t="str">
        <f>"34542021112220593752119"</f>
        <v>34542021112220593752119</v>
      </c>
      <c r="C1541" s="7" t="s">
        <v>20</v>
      </c>
      <c r="D1541" s="7" t="str">
        <f>"周美荣"</f>
        <v>周美荣</v>
      </c>
      <c r="E1541" s="7" t="str">
        <f t="shared" si="114"/>
        <v>女</v>
      </c>
      <c r="F1541" s="7"/>
    </row>
    <row r="1542" spans="1:6" ht="30" customHeight="1">
      <c r="A1542" s="7">
        <v>1540</v>
      </c>
      <c r="B1542" s="7" t="str">
        <f>"34542021112221152052125"</f>
        <v>34542021112221152052125</v>
      </c>
      <c r="C1542" s="7" t="s">
        <v>20</v>
      </c>
      <c r="D1542" s="7" t="str">
        <f>"李娴"</f>
        <v>李娴</v>
      </c>
      <c r="E1542" s="7" t="str">
        <f t="shared" si="114"/>
        <v>女</v>
      </c>
      <c r="F1542" s="7"/>
    </row>
    <row r="1543" spans="1:6" ht="30" customHeight="1">
      <c r="A1543" s="7">
        <v>1541</v>
      </c>
      <c r="B1543" s="7" t="str">
        <f>"34542021112221282052134"</f>
        <v>34542021112221282052134</v>
      </c>
      <c r="C1543" s="7" t="s">
        <v>20</v>
      </c>
      <c r="D1543" s="7" t="str">
        <f>"苏月娥"</f>
        <v>苏月娥</v>
      </c>
      <c r="E1543" s="7" t="str">
        <f t="shared" si="114"/>
        <v>女</v>
      </c>
      <c r="F1543" s="7"/>
    </row>
    <row r="1544" spans="1:6" ht="30" customHeight="1">
      <c r="A1544" s="7">
        <v>1542</v>
      </c>
      <c r="B1544" s="7" t="str">
        <f>"34542021112221423552142"</f>
        <v>34542021112221423552142</v>
      </c>
      <c r="C1544" s="7" t="s">
        <v>20</v>
      </c>
      <c r="D1544" s="7" t="str">
        <f>"陈言脱"</f>
        <v>陈言脱</v>
      </c>
      <c r="E1544" s="7" t="str">
        <f>"男"</f>
        <v>男</v>
      </c>
      <c r="F1544" s="7"/>
    </row>
    <row r="1545" spans="1:6" ht="30" customHeight="1">
      <c r="A1545" s="7">
        <v>1543</v>
      </c>
      <c r="B1545" s="7" t="str">
        <f>"34542021112221482452144"</f>
        <v>34542021112221482452144</v>
      </c>
      <c r="C1545" s="7" t="s">
        <v>20</v>
      </c>
      <c r="D1545" s="7" t="str">
        <f>"许翠玲"</f>
        <v>许翠玲</v>
      </c>
      <c r="E1545" s="7" t="str">
        <f aca="true" t="shared" si="115" ref="E1545:E1547">"女"</f>
        <v>女</v>
      </c>
      <c r="F1545" s="7"/>
    </row>
    <row r="1546" spans="1:6" ht="30" customHeight="1">
      <c r="A1546" s="7">
        <v>1544</v>
      </c>
      <c r="B1546" s="7" t="str">
        <f>"34542021112221552852148"</f>
        <v>34542021112221552852148</v>
      </c>
      <c r="C1546" s="7" t="s">
        <v>20</v>
      </c>
      <c r="D1546" s="7" t="str">
        <f>"羊名欢"</f>
        <v>羊名欢</v>
      </c>
      <c r="E1546" s="7" t="str">
        <f t="shared" si="115"/>
        <v>女</v>
      </c>
      <c r="F1546" s="7"/>
    </row>
    <row r="1547" spans="1:6" ht="30" customHeight="1">
      <c r="A1547" s="7">
        <v>1545</v>
      </c>
      <c r="B1547" s="7" t="str">
        <f>"34542021112222095352155"</f>
        <v>34542021112222095352155</v>
      </c>
      <c r="C1547" s="7" t="s">
        <v>20</v>
      </c>
      <c r="D1547" s="7" t="str">
        <f>"王丽圈"</f>
        <v>王丽圈</v>
      </c>
      <c r="E1547" s="7" t="str">
        <f t="shared" si="115"/>
        <v>女</v>
      </c>
      <c r="F1547" s="7"/>
    </row>
    <row r="1548" spans="1:6" ht="30" customHeight="1">
      <c r="A1548" s="7">
        <v>1546</v>
      </c>
      <c r="B1548" s="7" t="str">
        <f>"34542021112222170152158"</f>
        <v>34542021112222170152158</v>
      </c>
      <c r="C1548" s="7" t="s">
        <v>20</v>
      </c>
      <c r="D1548" s="7" t="str">
        <f>"孙国鑫"</f>
        <v>孙国鑫</v>
      </c>
      <c r="E1548" s="7" t="str">
        <f>"男"</f>
        <v>男</v>
      </c>
      <c r="F1548" s="7"/>
    </row>
    <row r="1549" spans="1:6" ht="30" customHeight="1">
      <c r="A1549" s="7">
        <v>1547</v>
      </c>
      <c r="B1549" s="7" t="str">
        <f>"34542021112223073252173"</f>
        <v>34542021112223073252173</v>
      </c>
      <c r="C1549" s="7" t="s">
        <v>20</v>
      </c>
      <c r="D1549" s="7" t="str">
        <f>"曾敏由"</f>
        <v>曾敏由</v>
      </c>
      <c r="E1549" s="7" t="str">
        <f aca="true" t="shared" si="116" ref="E1549:E1551">"女"</f>
        <v>女</v>
      </c>
      <c r="F1549" s="7"/>
    </row>
    <row r="1550" spans="1:6" ht="30" customHeight="1">
      <c r="A1550" s="7">
        <v>1548</v>
      </c>
      <c r="B1550" s="7" t="str">
        <f>"34542021112223452752179"</f>
        <v>34542021112223452752179</v>
      </c>
      <c r="C1550" s="7" t="s">
        <v>20</v>
      </c>
      <c r="D1550" s="7" t="str">
        <f>"杨密"</f>
        <v>杨密</v>
      </c>
      <c r="E1550" s="7" t="str">
        <f t="shared" si="116"/>
        <v>女</v>
      </c>
      <c r="F1550" s="7"/>
    </row>
    <row r="1551" spans="1:6" ht="30" customHeight="1">
      <c r="A1551" s="7">
        <v>1549</v>
      </c>
      <c r="B1551" s="7" t="str">
        <f>"34542021112223475452180"</f>
        <v>34542021112223475452180</v>
      </c>
      <c r="C1551" s="7" t="s">
        <v>20</v>
      </c>
      <c r="D1551" s="7" t="str">
        <f>"朱定丽"</f>
        <v>朱定丽</v>
      </c>
      <c r="E1551" s="7" t="str">
        <f t="shared" si="116"/>
        <v>女</v>
      </c>
      <c r="F1551" s="7"/>
    </row>
    <row r="1552" spans="1:6" ht="30" customHeight="1">
      <c r="A1552" s="7">
        <v>1550</v>
      </c>
      <c r="B1552" s="7" t="str">
        <f>"34542021112300445452186"</f>
        <v>34542021112300445452186</v>
      </c>
      <c r="C1552" s="7" t="s">
        <v>20</v>
      </c>
      <c r="D1552" s="7" t="str">
        <f>"王松龄"</f>
        <v>王松龄</v>
      </c>
      <c r="E1552" s="7" t="str">
        <f>"男"</f>
        <v>男</v>
      </c>
      <c r="F1552" s="7"/>
    </row>
    <row r="1553" spans="1:6" ht="30" customHeight="1">
      <c r="A1553" s="7">
        <v>1551</v>
      </c>
      <c r="B1553" s="7" t="str">
        <f>"34542021112309005152201"</f>
        <v>34542021112309005152201</v>
      </c>
      <c r="C1553" s="7" t="s">
        <v>20</v>
      </c>
      <c r="D1553" s="7" t="str">
        <f>"陈月花"</f>
        <v>陈月花</v>
      </c>
      <c r="E1553" s="7" t="str">
        <f aca="true" t="shared" si="117" ref="E1553:E1573">"女"</f>
        <v>女</v>
      </c>
      <c r="F1553" s="7"/>
    </row>
    <row r="1554" spans="1:6" ht="30" customHeight="1">
      <c r="A1554" s="7">
        <v>1552</v>
      </c>
      <c r="B1554" s="7" t="str">
        <f>"34542021112309080552204"</f>
        <v>34542021112309080552204</v>
      </c>
      <c r="C1554" s="7" t="s">
        <v>20</v>
      </c>
      <c r="D1554" s="7" t="str">
        <f>"邱婷婷"</f>
        <v>邱婷婷</v>
      </c>
      <c r="E1554" s="7" t="str">
        <f t="shared" si="117"/>
        <v>女</v>
      </c>
      <c r="F1554" s="7"/>
    </row>
    <row r="1555" spans="1:6" ht="30" customHeight="1">
      <c r="A1555" s="7">
        <v>1553</v>
      </c>
      <c r="B1555" s="7" t="str">
        <f>"34542021112309220152207"</f>
        <v>34542021112309220152207</v>
      </c>
      <c r="C1555" s="7" t="s">
        <v>20</v>
      </c>
      <c r="D1555" s="7" t="str">
        <f>"符春燕"</f>
        <v>符春燕</v>
      </c>
      <c r="E1555" s="7" t="str">
        <f t="shared" si="117"/>
        <v>女</v>
      </c>
      <c r="F1555" s="7"/>
    </row>
    <row r="1556" spans="1:6" ht="30" customHeight="1">
      <c r="A1556" s="7">
        <v>1554</v>
      </c>
      <c r="B1556" s="7" t="str">
        <f>"34542021112309224952208"</f>
        <v>34542021112309224952208</v>
      </c>
      <c r="C1556" s="7" t="s">
        <v>20</v>
      </c>
      <c r="D1556" s="7" t="str">
        <f>"陈婷"</f>
        <v>陈婷</v>
      </c>
      <c r="E1556" s="7" t="str">
        <f t="shared" si="117"/>
        <v>女</v>
      </c>
      <c r="F1556" s="7"/>
    </row>
    <row r="1557" spans="1:6" ht="30" customHeight="1">
      <c r="A1557" s="7">
        <v>1555</v>
      </c>
      <c r="B1557" s="7" t="str">
        <f>"34542021112309265852210"</f>
        <v>34542021112309265852210</v>
      </c>
      <c r="C1557" s="7" t="s">
        <v>20</v>
      </c>
      <c r="D1557" s="7" t="str">
        <f>"王国香"</f>
        <v>王国香</v>
      </c>
      <c r="E1557" s="7" t="str">
        <f t="shared" si="117"/>
        <v>女</v>
      </c>
      <c r="F1557" s="7"/>
    </row>
    <row r="1558" spans="1:6" ht="30" customHeight="1">
      <c r="A1558" s="7">
        <v>1556</v>
      </c>
      <c r="B1558" s="7" t="str">
        <f>"34542021112309334152213"</f>
        <v>34542021112309334152213</v>
      </c>
      <c r="C1558" s="7" t="s">
        <v>20</v>
      </c>
      <c r="D1558" s="7" t="str">
        <f>"陈丽婉"</f>
        <v>陈丽婉</v>
      </c>
      <c r="E1558" s="7" t="str">
        <f t="shared" si="117"/>
        <v>女</v>
      </c>
      <c r="F1558" s="7"/>
    </row>
    <row r="1559" spans="1:6" ht="30" customHeight="1">
      <c r="A1559" s="7">
        <v>1557</v>
      </c>
      <c r="B1559" s="7" t="str">
        <f>"34542021112309334352214"</f>
        <v>34542021112309334352214</v>
      </c>
      <c r="C1559" s="7" t="s">
        <v>20</v>
      </c>
      <c r="D1559" s="7" t="str">
        <f>"王红霜"</f>
        <v>王红霜</v>
      </c>
      <c r="E1559" s="7" t="str">
        <f t="shared" si="117"/>
        <v>女</v>
      </c>
      <c r="F1559" s="7"/>
    </row>
    <row r="1560" spans="1:6" ht="30" customHeight="1">
      <c r="A1560" s="7">
        <v>1558</v>
      </c>
      <c r="B1560" s="7" t="str">
        <f>"34542021112310135952231"</f>
        <v>34542021112310135952231</v>
      </c>
      <c r="C1560" s="7" t="s">
        <v>20</v>
      </c>
      <c r="D1560" s="7" t="str">
        <f>"李路娜"</f>
        <v>李路娜</v>
      </c>
      <c r="E1560" s="7" t="str">
        <f t="shared" si="117"/>
        <v>女</v>
      </c>
      <c r="F1560" s="7"/>
    </row>
    <row r="1561" spans="1:6" ht="30" customHeight="1">
      <c r="A1561" s="7">
        <v>1559</v>
      </c>
      <c r="B1561" s="7" t="str">
        <f>"34542021112311291452265"</f>
        <v>34542021112311291452265</v>
      </c>
      <c r="C1561" s="7" t="s">
        <v>20</v>
      </c>
      <c r="D1561" s="7" t="str">
        <f>"符小红"</f>
        <v>符小红</v>
      </c>
      <c r="E1561" s="7" t="str">
        <f t="shared" si="117"/>
        <v>女</v>
      </c>
      <c r="F1561" s="7"/>
    </row>
    <row r="1562" spans="1:6" ht="30" customHeight="1">
      <c r="A1562" s="7">
        <v>1560</v>
      </c>
      <c r="B1562" s="7" t="str">
        <f>"34542021112311502952274"</f>
        <v>34542021112311502952274</v>
      </c>
      <c r="C1562" s="7" t="s">
        <v>20</v>
      </c>
      <c r="D1562" s="7" t="str">
        <f>"黄春椰"</f>
        <v>黄春椰</v>
      </c>
      <c r="E1562" s="7" t="str">
        <f t="shared" si="117"/>
        <v>女</v>
      </c>
      <c r="F1562" s="7"/>
    </row>
    <row r="1563" spans="1:6" ht="30" customHeight="1">
      <c r="A1563" s="7">
        <v>1561</v>
      </c>
      <c r="B1563" s="7" t="str">
        <f>"34542021112311555452276"</f>
        <v>34542021112311555452276</v>
      </c>
      <c r="C1563" s="7" t="s">
        <v>20</v>
      </c>
      <c r="D1563" s="7" t="str">
        <f>"吴春喜"</f>
        <v>吴春喜</v>
      </c>
      <c r="E1563" s="7" t="str">
        <f t="shared" si="117"/>
        <v>女</v>
      </c>
      <c r="F1563" s="7"/>
    </row>
    <row r="1564" spans="1:6" ht="30" customHeight="1">
      <c r="A1564" s="7">
        <v>1562</v>
      </c>
      <c r="B1564" s="7" t="str">
        <f>"34542021112312023352280"</f>
        <v>34542021112312023352280</v>
      </c>
      <c r="C1564" s="7" t="s">
        <v>20</v>
      </c>
      <c r="D1564" s="7" t="str">
        <f>"唐春兰"</f>
        <v>唐春兰</v>
      </c>
      <c r="E1564" s="7" t="str">
        <f t="shared" si="117"/>
        <v>女</v>
      </c>
      <c r="F1564" s="7"/>
    </row>
    <row r="1565" spans="1:6" ht="30" customHeight="1">
      <c r="A1565" s="7">
        <v>1563</v>
      </c>
      <c r="B1565" s="7" t="str">
        <f>"34542021112312225652286"</f>
        <v>34542021112312225652286</v>
      </c>
      <c r="C1565" s="7" t="s">
        <v>20</v>
      </c>
      <c r="D1565" s="7" t="str">
        <f>"陈晓梦"</f>
        <v>陈晓梦</v>
      </c>
      <c r="E1565" s="7" t="str">
        <f t="shared" si="117"/>
        <v>女</v>
      </c>
      <c r="F1565" s="7"/>
    </row>
    <row r="1566" spans="1:6" ht="30" customHeight="1">
      <c r="A1566" s="7">
        <v>1564</v>
      </c>
      <c r="B1566" s="7" t="str">
        <f>"34542021112312255652287"</f>
        <v>34542021112312255652287</v>
      </c>
      <c r="C1566" s="7" t="s">
        <v>20</v>
      </c>
      <c r="D1566" s="7" t="str">
        <f>"符初金"</f>
        <v>符初金</v>
      </c>
      <c r="E1566" s="7" t="str">
        <f t="shared" si="117"/>
        <v>女</v>
      </c>
      <c r="F1566" s="7"/>
    </row>
    <row r="1567" spans="1:6" ht="30" customHeight="1">
      <c r="A1567" s="7">
        <v>1565</v>
      </c>
      <c r="B1567" s="7" t="str">
        <f>"34542021112312541952298"</f>
        <v>34542021112312541952298</v>
      </c>
      <c r="C1567" s="7" t="s">
        <v>20</v>
      </c>
      <c r="D1567" s="7" t="str">
        <f>"符晶晶"</f>
        <v>符晶晶</v>
      </c>
      <c r="E1567" s="7" t="str">
        <f t="shared" si="117"/>
        <v>女</v>
      </c>
      <c r="F1567" s="7"/>
    </row>
    <row r="1568" spans="1:6" ht="30" customHeight="1">
      <c r="A1568" s="7">
        <v>1566</v>
      </c>
      <c r="B1568" s="7" t="str">
        <f>"34542021112313213752310"</f>
        <v>34542021112313213752310</v>
      </c>
      <c r="C1568" s="7" t="s">
        <v>20</v>
      </c>
      <c r="D1568" s="7" t="str">
        <f>"胡焕芳"</f>
        <v>胡焕芳</v>
      </c>
      <c r="E1568" s="7" t="str">
        <f t="shared" si="117"/>
        <v>女</v>
      </c>
      <c r="F1568" s="7"/>
    </row>
    <row r="1569" spans="1:6" ht="30" customHeight="1">
      <c r="A1569" s="7">
        <v>1567</v>
      </c>
      <c r="B1569" s="7" t="str">
        <f>"34542021112313265352313"</f>
        <v>34542021112313265352313</v>
      </c>
      <c r="C1569" s="7" t="s">
        <v>20</v>
      </c>
      <c r="D1569" s="7" t="str">
        <f>"林秋莹"</f>
        <v>林秋莹</v>
      </c>
      <c r="E1569" s="7" t="str">
        <f t="shared" si="117"/>
        <v>女</v>
      </c>
      <c r="F1569" s="7"/>
    </row>
    <row r="1570" spans="1:6" ht="30" customHeight="1">
      <c r="A1570" s="7">
        <v>1568</v>
      </c>
      <c r="B1570" s="7" t="str">
        <f>"34542021112313502852318"</f>
        <v>34542021112313502852318</v>
      </c>
      <c r="C1570" s="7" t="s">
        <v>20</v>
      </c>
      <c r="D1570" s="7" t="str">
        <f>"朱多玲"</f>
        <v>朱多玲</v>
      </c>
      <c r="E1570" s="7" t="str">
        <f t="shared" si="117"/>
        <v>女</v>
      </c>
      <c r="F1570" s="7"/>
    </row>
    <row r="1571" spans="1:6" ht="30" customHeight="1">
      <c r="A1571" s="7">
        <v>1569</v>
      </c>
      <c r="B1571" s="7" t="str">
        <f>"34542021112315125452340"</f>
        <v>34542021112315125452340</v>
      </c>
      <c r="C1571" s="7" t="s">
        <v>20</v>
      </c>
      <c r="D1571" s="7" t="str">
        <f>"郭高玉"</f>
        <v>郭高玉</v>
      </c>
      <c r="E1571" s="7" t="str">
        <f t="shared" si="117"/>
        <v>女</v>
      </c>
      <c r="F1571" s="7"/>
    </row>
    <row r="1572" spans="1:6" ht="30" customHeight="1">
      <c r="A1572" s="7">
        <v>1570</v>
      </c>
      <c r="B1572" s="7" t="str">
        <f>"34542021112315330552349"</f>
        <v>34542021112315330552349</v>
      </c>
      <c r="C1572" s="7" t="s">
        <v>20</v>
      </c>
      <c r="D1572" s="7" t="str">
        <f>"符小慧"</f>
        <v>符小慧</v>
      </c>
      <c r="E1572" s="7" t="str">
        <f t="shared" si="117"/>
        <v>女</v>
      </c>
      <c r="F1572" s="7"/>
    </row>
    <row r="1573" spans="1:6" ht="30" customHeight="1">
      <c r="A1573" s="7">
        <v>1571</v>
      </c>
      <c r="B1573" s="7" t="str">
        <f>"34542021112316354352379"</f>
        <v>34542021112316354352379</v>
      </c>
      <c r="C1573" s="7" t="s">
        <v>20</v>
      </c>
      <c r="D1573" s="7" t="str">
        <f>"邢东婷"</f>
        <v>邢东婷</v>
      </c>
      <c r="E1573" s="7" t="str">
        <f t="shared" si="117"/>
        <v>女</v>
      </c>
      <c r="F1573" s="7"/>
    </row>
    <row r="1574" spans="1:6" ht="30" customHeight="1">
      <c r="A1574" s="7">
        <v>1572</v>
      </c>
      <c r="B1574" s="7" t="str">
        <f>"34542021112316485252386"</f>
        <v>34542021112316485252386</v>
      </c>
      <c r="C1574" s="7" t="s">
        <v>20</v>
      </c>
      <c r="D1574" s="7" t="str">
        <f>"吴国强"</f>
        <v>吴国强</v>
      </c>
      <c r="E1574" s="7" t="str">
        <f>"男"</f>
        <v>男</v>
      </c>
      <c r="F1574" s="7"/>
    </row>
    <row r="1575" spans="1:6" ht="30" customHeight="1">
      <c r="A1575" s="7">
        <v>1573</v>
      </c>
      <c r="B1575" s="7" t="str">
        <f>"34542021112316500352388"</f>
        <v>34542021112316500352388</v>
      </c>
      <c r="C1575" s="7" t="s">
        <v>20</v>
      </c>
      <c r="D1575" s="7" t="str">
        <f>"冼巧凤"</f>
        <v>冼巧凤</v>
      </c>
      <c r="E1575" s="7" t="str">
        <f aca="true" t="shared" si="118" ref="E1575:E1590">"女"</f>
        <v>女</v>
      </c>
      <c r="F1575" s="7"/>
    </row>
    <row r="1576" spans="1:6" ht="30" customHeight="1">
      <c r="A1576" s="7">
        <v>1574</v>
      </c>
      <c r="B1576" s="7" t="str">
        <f>"34542021112316500852389"</f>
        <v>34542021112316500852389</v>
      </c>
      <c r="C1576" s="7" t="s">
        <v>20</v>
      </c>
      <c r="D1576" s="7" t="str">
        <f>"韦人菁"</f>
        <v>韦人菁</v>
      </c>
      <c r="E1576" s="7" t="str">
        <f t="shared" si="118"/>
        <v>女</v>
      </c>
      <c r="F1576" s="7"/>
    </row>
    <row r="1577" spans="1:6" ht="30" customHeight="1">
      <c r="A1577" s="7">
        <v>1575</v>
      </c>
      <c r="B1577" s="7" t="str">
        <f>"34542021112317001452394"</f>
        <v>34542021112317001452394</v>
      </c>
      <c r="C1577" s="7" t="s">
        <v>20</v>
      </c>
      <c r="D1577" s="7" t="str">
        <f>"莫土勤"</f>
        <v>莫土勤</v>
      </c>
      <c r="E1577" s="7" t="str">
        <f t="shared" si="118"/>
        <v>女</v>
      </c>
      <c r="F1577" s="7"/>
    </row>
    <row r="1578" spans="1:6" ht="30" customHeight="1">
      <c r="A1578" s="7">
        <v>1576</v>
      </c>
      <c r="B1578" s="7" t="str">
        <f>"34542021112317495452415"</f>
        <v>34542021112317495452415</v>
      </c>
      <c r="C1578" s="7" t="s">
        <v>20</v>
      </c>
      <c r="D1578" s="7" t="str">
        <f>"周文诗"</f>
        <v>周文诗</v>
      </c>
      <c r="E1578" s="7" t="str">
        <f t="shared" si="118"/>
        <v>女</v>
      </c>
      <c r="F1578" s="7"/>
    </row>
    <row r="1579" spans="1:6" ht="30" customHeight="1">
      <c r="A1579" s="7">
        <v>1577</v>
      </c>
      <c r="B1579" s="7" t="str">
        <f>"34542021112318302852427"</f>
        <v>34542021112318302852427</v>
      </c>
      <c r="C1579" s="7" t="s">
        <v>20</v>
      </c>
      <c r="D1579" s="7" t="str">
        <f>"黄懿美"</f>
        <v>黄懿美</v>
      </c>
      <c r="E1579" s="7" t="str">
        <f t="shared" si="118"/>
        <v>女</v>
      </c>
      <c r="F1579" s="7"/>
    </row>
    <row r="1580" spans="1:6" ht="30" customHeight="1">
      <c r="A1580" s="7">
        <v>1578</v>
      </c>
      <c r="B1580" s="7" t="str">
        <f>"34542021112319533452458"</f>
        <v>34542021112319533452458</v>
      </c>
      <c r="C1580" s="7" t="s">
        <v>20</v>
      </c>
      <c r="D1580" s="7" t="str">
        <f>"黄小茹"</f>
        <v>黄小茹</v>
      </c>
      <c r="E1580" s="7" t="str">
        <f t="shared" si="118"/>
        <v>女</v>
      </c>
      <c r="F1580" s="7"/>
    </row>
    <row r="1581" spans="1:6" ht="30" customHeight="1">
      <c r="A1581" s="7">
        <v>1579</v>
      </c>
      <c r="B1581" s="7" t="str">
        <f>"34542021112320305552471"</f>
        <v>34542021112320305552471</v>
      </c>
      <c r="C1581" s="7" t="s">
        <v>20</v>
      </c>
      <c r="D1581" s="7" t="str">
        <f>"黎桂柳"</f>
        <v>黎桂柳</v>
      </c>
      <c r="E1581" s="7" t="str">
        <f t="shared" si="118"/>
        <v>女</v>
      </c>
      <c r="F1581" s="7"/>
    </row>
    <row r="1582" spans="1:6" ht="30" customHeight="1">
      <c r="A1582" s="7">
        <v>1580</v>
      </c>
      <c r="B1582" s="7" t="str">
        <f>"34542021112320414052478"</f>
        <v>34542021112320414052478</v>
      </c>
      <c r="C1582" s="7" t="s">
        <v>20</v>
      </c>
      <c r="D1582" s="7" t="str">
        <f>"王合婵"</f>
        <v>王合婵</v>
      </c>
      <c r="E1582" s="7" t="str">
        <f t="shared" si="118"/>
        <v>女</v>
      </c>
      <c r="F1582" s="7"/>
    </row>
    <row r="1583" spans="1:6" ht="30" customHeight="1">
      <c r="A1583" s="7">
        <v>1581</v>
      </c>
      <c r="B1583" s="7" t="str">
        <f>"34542021112320590752486"</f>
        <v>34542021112320590752486</v>
      </c>
      <c r="C1583" s="7" t="s">
        <v>20</v>
      </c>
      <c r="D1583" s="7" t="str">
        <f>"王德桃"</f>
        <v>王德桃</v>
      </c>
      <c r="E1583" s="7" t="str">
        <f t="shared" si="118"/>
        <v>女</v>
      </c>
      <c r="F1583" s="7"/>
    </row>
    <row r="1584" spans="1:6" ht="30" customHeight="1">
      <c r="A1584" s="7">
        <v>1582</v>
      </c>
      <c r="B1584" s="7" t="str">
        <f>"34542021112321180052494"</f>
        <v>34542021112321180052494</v>
      </c>
      <c r="C1584" s="7" t="s">
        <v>20</v>
      </c>
      <c r="D1584" s="7" t="str">
        <f>"符小玉"</f>
        <v>符小玉</v>
      </c>
      <c r="E1584" s="7" t="str">
        <f t="shared" si="118"/>
        <v>女</v>
      </c>
      <c r="F1584" s="7"/>
    </row>
    <row r="1585" spans="1:6" ht="30" customHeight="1">
      <c r="A1585" s="7">
        <v>1583</v>
      </c>
      <c r="B1585" s="7" t="str">
        <f>"34542021112321221552495"</f>
        <v>34542021112321221552495</v>
      </c>
      <c r="C1585" s="7" t="s">
        <v>20</v>
      </c>
      <c r="D1585" s="7" t="str">
        <f>"黎尾花"</f>
        <v>黎尾花</v>
      </c>
      <c r="E1585" s="7" t="str">
        <f t="shared" si="118"/>
        <v>女</v>
      </c>
      <c r="F1585" s="7"/>
    </row>
    <row r="1586" spans="1:6" ht="30" customHeight="1">
      <c r="A1586" s="7">
        <v>1584</v>
      </c>
      <c r="B1586" s="7" t="str">
        <f>"34542021112321545452502"</f>
        <v>34542021112321545452502</v>
      </c>
      <c r="C1586" s="7" t="s">
        <v>20</v>
      </c>
      <c r="D1586" s="7" t="str">
        <f>"王姑梅"</f>
        <v>王姑梅</v>
      </c>
      <c r="E1586" s="7" t="str">
        <f t="shared" si="118"/>
        <v>女</v>
      </c>
      <c r="F1586" s="7"/>
    </row>
    <row r="1587" spans="1:6" ht="30" customHeight="1">
      <c r="A1587" s="7">
        <v>1585</v>
      </c>
      <c r="B1587" s="7" t="str">
        <f>"34542021112321554252503"</f>
        <v>34542021112321554252503</v>
      </c>
      <c r="C1587" s="7" t="s">
        <v>20</v>
      </c>
      <c r="D1587" s="7" t="str">
        <f>"黄小波"</f>
        <v>黄小波</v>
      </c>
      <c r="E1587" s="7" t="str">
        <f t="shared" si="118"/>
        <v>女</v>
      </c>
      <c r="F1587" s="7"/>
    </row>
    <row r="1588" spans="1:6" ht="30" customHeight="1">
      <c r="A1588" s="7">
        <v>1586</v>
      </c>
      <c r="B1588" s="7" t="str">
        <f>"34542021112322255352514"</f>
        <v>34542021112322255352514</v>
      </c>
      <c r="C1588" s="7" t="s">
        <v>20</v>
      </c>
      <c r="D1588" s="7" t="str">
        <f>"黄玉玲"</f>
        <v>黄玉玲</v>
      </c>
      <c r="E1588" s="7" t="str">
        <f t="shared" si="118"/>
        <v>女</v>
      </c>
      <c r="F1588" s="7"/>
    </row>
    <row r="1589" spans="1:6" ht="30" customHeight="1">
      <c r="A1589" s="7">
        <v>1587</v>
      </c>
      <c r="B1589" s="7" t="str">
        <f>"34542021112322400152520"</f>
        <v>34542021112322400152520</v>
      </c>
      <c r="C1589" s="7" t="s">
        <v>20</v>
      </c>
      <c r="D1589" s="7" t="str">
        <f>"劳小顺"</f>
        <v>劳小顺</v>
      </c>
      <c r="E1589" s="7" t="str">
        <f t="shared" si="118"/>
        <v>女</v>
      </c>
      <c r="F1589" s="7"/>
    </row>
    <row r="1590" spans="1:6" ht="30" customHeight="1">
      <c r="A1590" s="7">
        <v>1588</v>
      </c>
      <c r="B1590" s="7" t="str">
        <f>"34542021112323272752526"</f>
        <v>34542021112323272752526</v>
      </c>
      <c r="C1590" s="7" t="s">
        <v>20</v>
      </c>
      <c r="D1590" s="7" t="str">
        <f>"李靖"</f>
        <v>李靖</v>
      </c>
      <c r="E1590" s="7" t="str">
        <f t="shared" si="118"/>
        <v>女</v>
      </c>
      <c r="F1590" s="7"/>
    </row>
    <row r="1591" spans="1:6" ht="30" customHeight="1">
      <c r="A1591" s="7">
        <v>1589</v>
      </c>
      <c r="B1591" s="7" t="str">
        <f>"34542021112402020052536"</f>
        <v>34542021112402020052536</v>
      </c>
      <c r="C1591" s="7" t="s">
        <v>20</v>
      </c>
      <c r="D1591" s="7" t="str">
        <f>"刘海龙"</f>
        <v>刘海龙</v>
      </c>
      <c r="E1591" s="7" t="str">
        <f>"男"</f>
        <v>男</v>
      </c>
      <c r="F1591" s="7"/>
    </row>
    <row r="1592" spans="1:6" ht="30" customHeight="1">
      <c r="A1592" s="7">
        <v>1590</v>
      </c>
      <c r="B1592" s="7" t="str">
        <f>"34542021112408414252548"</f>
        <v>34542021112408414252548</v>
      </c>
      <c r="C1592" s="7" t="s">
        <v>20</v>
      </c>
      <c r="D1592" s="7" t="str">
        <f>"陈菊丹"</f>
        <v>陈菊丹</v>
      </c>
      <c r="E1592" s="7" t="str">
        <f aca="true" t="shared" si="119" ref="E1592:E1615">"女"</f>
        <v>女</v>
      </c>
      <c r="F1592" s="7"/>
    </row>
    <row r="1593" spans="1:6" ht="30" customHeight="1">
      <c r="A1593" s="7">
        <v>1591</v>
      </c>
      <c r="B1593" s="7" t="str">
        <f>"34542021112408591352557"</f>
        <v>34542021112408591352557</v>
      </c>
      <c r="C1593" s="7" t="s">
        <v>20</v>
      </c>
      <c r="D1593" s="7" t="str">
        <f>"陈逸潇"</f>
        <v>陈逸潇</v>
      </c>
      <c r="E1593" s="7" t="str">
        <f>"男"</f>
        <v>男</v>
      </c>
      <c r="F1593" s="7"/>
    </row>
    <row r="1594" spans="1:6" ht="30" customHeight="1">
      <c r="A1594" s="7">
        <v>1592</v>
      </c>
      <c r="B1594" s="7" t="str">
        <f>"34542021112409240552562"</f>
        <v>34542021112409240552562</v>
      </c>
      <c r="C1594" s="7" t="s">
        <v>20</v>
      </c>
      <c r="D1594" s="7" t="str">
        <f>"谢秋池"</f>
        <v>谢秋池</v>
      </c>
      <c r="E1594" s="7" t="str">
        <f t="shared" si="119"/>
        <v>女</v>
      </c>
      <c r="F1594" s="7"/>
    </row>
    <row r="1595" spans="1:6" ht="30" customHeight="1">
      <c r="A1595" s="7">
        <v>1593</v>
      </c>
      <c r="B1595" s="7" t="str">
        <f>"34542021112409584852573"</f>
        <v>34542021112409584852573</v>
      </c>
      <c r="C1595" s="7" t="s">
        <v>20</v>
      </c>
      <c r="D1595" s="7" t="str">
        <f>"符慧彬"</f>
        <v>符慧彬</v>
      </c>
      <c r="E1595" s="7" t="str">
        <f t="shared" si="119"/>
        <v>女</v>
      </c>
      <c r="F1595" s="7"/>
    </row>
    <row r="1596" spans="1:6" ht="30" customHeight="1">
      <c r="A1596" s="7">
        <v>1594</v>
      </c>
      <c r="B1596" s="7" t="str">
        <f>"34542021112410060552578"</f>
        <v>34542021112410060552578</v>
      </c>
      <c r="C1596" s="7" t="s">
        <v>20</v>
      </c>
      <c r="D1596" s="7" t="str">
        <f>"刘秋红"</f>
        <v>刘秋红</v>
      </c>
      <c r="E1596" s="7" t="str">
        <f t="shared" si="119"/>
        <v>女</v>
      </c>
      <c r="F1596" s="7"/>
    </row>
    <row r="1597" spans="1:6" ht="30" customHeight="1">
      <c r="A1597" s="7">
        <v>1595</v>
      </c>
      <c r="B1597" s="7" t="str">
        <f>"34542021112410061952579"</f>
        <v>34542021112410061952579</v>
      </c>
      <c r="C1597" s="7" t="s">
        <v>20</v>
      </c>
      <c r="D1597" s="7" t="str">
        <f>"吉俐憬"</f>
        <v>吉俐憬</v>
      </c>
      <c r="E1597" s="7" t="str">
        <f t="shared" si="119"/>
        <v>女</v>
      </c>
      <c r="F1597" s="7"/>
    </row>
    <row r="1598" spans="1:6" ht="30" customHeight="1">
      <c r="A1598" s="7">
        <v>1596</v>
      </c>
      <c r="B1598" s="7" t="str">
        <f>"34542021112411281852614"</f>
        <v>34542021112411281852614</v>
      </c>
      <c r="C1598" s="7" t="s">
        <v>20</v>
      </c>
      <c r="D1598" s="7" t="str">
        <f>"唐金连"</f>
        <v>唐金连</v>
      </c>
      <c r="E1598" s="7" t="str">
        <f t="shared" si="119"/>
        <v>女</v>
      </c>
      <c r="F1598" s="7"/>
    </row>
    <row r="1599" spans="1:6" ht="30" customHeight="1">
      <c r="A1599" s="7">
        <v>1597</v>
      </c>
      <c r="B1599" s="7" t="str">
        <f>"34542021112412550052642"</f>
        <v>34542021112412550052642</v>
      </c>
      <c r="C1599" s="7" t="s">
        <v>20</v>
      </c>
      <c r="D1599" s="7" t="str">
        <f>"赵春燕"</f>
        <v>赵春燕</v>
      </c>
      <c r="E1599" s="7" t="str">
        <f t="shared" si="119"/>
        <v>女</v>
      </c>
      <c r="F1599" s="7"/>
    </row>
    <row r="1600" spans="1:6" ht="30" customHeight="1">
      <c r="A1600" s="7">
        <v>1598</v>
      </c>
      <c r="B1600" s="7" t="str">
        <f>"34542021112414051652649"</f>
        <v>34542021112414051652649</v>
      </c>
      <c r="C1600" s="7" t="s">
        <v>20</v>
      </c>
      <c r="D1600" s="7" t="str">
        <f>"林碧红"</f>
        <v>林碧红</v>
      </c>
      <c r="E1600" s="7" t="str">
        <f t="shared" si="119"/>
        <v>女</v>
      </c>
      <c r="F1600" s="7"/>
    </row>
    <row r="1601" spans="1:6" ht="30" customHeight="1">
      <c r="A1601" s="7">
        <v>1599</v>
      </c>
      <c r="B1601" s="7" t="str">
        <f>"34542021112414593752662"</f>
        <v>34542021112414593752662</v>
      </c>
      <c r="C1601" s="7" t="s">
        <v>20</v>
      </c>
      <c r="D1601" s="7" t="str">
        <f>"全天云"</f>
        <v>全天云</v>
      </c>
      <c r="E1601" s="7" t="str">
        <f t="shared" si="119"/>
        <v>女</v>
      </c>
      <c r="F1601" s="7"/>
    </row>
    <row r="1602" spans="1:6" ht="30" customHeight="1">
      <c r="A1602" s="7">
        <v>1600</v>
      </c>
      <c r="B1602" s="7" t="str">
        <f>"34542021112415294752668"</f>
        <v>34542021112415294752668</v>
      </c>
      <c r="C1602" s="7" t="s">
        <v>20</v>
      </c>
      <c r="D1602" s="7" t="str">
        <f>"羊荷香"</f>
        <v>羊荷香</v>
      </c>
      <c r="E1602" s="7" t="str">
        <f t="shared" si="119"/>
        <v>女</v>
      </c>
      <c r="F1602" s="7"/>
    </row>
    <row r="1603" spans="1:6" ht="30" customHeight="1">
      <c r="A1603" s="7">
        <v>1601</v>
      </c>
      <c r="B1603" s="7" t="str">
        <f>"34542021112415594052677"</f>
        <v>34542021112415594052677</v>
      </c>
      <c r="C1603" s="7" t="s">
        <v>20</v>
      </c>
      <c r="D1603" s="7" t="str">
        <f>"黎正婷"</f>
        <v>黎正婷</v>
      </c>
      <c r="E1603" s="7" t="str">
        <f t="shared" si="119"/>
        <v>女</v>
      </c>
      <c r="F1603" s="7"/>
    </row>
    <row r="1604" spans="1:6" ht="30" customHeight="1">
      <c r="A1604" s="7">
        <v>1602</v>
      </c>
      <c r="B1604" s="7" t="str">
        <f>"34542021112416015452678"</f>
        <v>34542021112416015452678</v>
      </c>
      <c r="C1604" s="7" t="s">
        <v>20</v>
      </c>
      <c r="D1604" s="7" t="str">
        <f>"薛桂敏"</f>
        <v>薛桂敏</v>
      </c>
      <c r="E1604" s="7" t="str">
        <f t="shared" si="119"/>
        <v>女</v>
      </c>
      <c r="F1604" s="7"/>
    </row>
    <row r="1605" spans="1:6" ht="30" customHeight="1">
      <c r="A1605" s="7">
        <v>1603</v>
      </c>
      <c r="B1605" s="7" t="str">
        <f>"34542021112416075752682"</f>
        <v>34542021112416075752682</v>
      </c>
      <c r="C1605" s="7" t="s">
        <v>20</v>
      </c>
      <c r="D1605" s="7" t="str">
        <f>"吴云丹"</f>
        <v>吴云丹</v>
      </c>
      <c r="E1605" s="7" t="str">
        <f t="shared" si="119"/>
        <v>女</v>
      </c>
      <c r="F1605" s="7"/>
    </row>
    <row r="1606" spans="1:6" ht="30" customHeight="1">
      <c r="A1606" s="7">
        <v>1604</v>
      </c>
      <c r="B1606" s="7" t="str">
        <f>"34542021112417332252708"</f>
        <v>34542021112417332252708</v>
      </c>
      <c r="C1606" s="7" t="s">
        <v>20</v>
      </c>
      <c r="D1606" s="7" t="str">
        <f>"王雪冰"</f>
        <v>王雪冰</v>
      </c>
      <c r="E1606" s="7" t="str">
        <f t="shared" si="119"/>
        <v>女</v>
      </c>
      <c r="F1606" s="7"/>
    </row>
    <row r="1607" spans="1:6" ht="30" customHeight="1">
      <c r="A1607" s="7">
        <v>1605</v>
      </c>
      <c r="B1607" s="7" t="str">
        <f>"34542021112419013752738"</f>
        <v>34542021112419013752738</v>
      </c>
      <c r="C1607" s="7" t="s">
        <v>20</v>
      </c>
      <c r="D1607" s="7" t="str">
        <f>"周琳"</f>
        <v>周琳</v>
      </c>
      <c r="E1607" s="7" t="str">
        <f t="shared" si="119"/>
        <v>女</v>
      </c>
      <c r="F1607" s="7"/>
    </row>
    <row r="1608" spans="1:6" ht="30" customHeight="1">
      <c r="A1608" s="7">
        <v>1606</v>
      </c>
      <c r="B1608" s="7" t="str">
        <f>"34542021112419232652743"</f>
        <v>34542021112419232652743</v>
      </c>
      <c r="C1608" s="7" t="s">
        <v>20</v>
      </c>
      <c r="D1608" s="7" t="str">
        <f>"黎孙蕾"</f>
        <v>黎孙蕾</v>
      </c>
      <c r="E1608" s="7" t="str">
        <f t="shared" si="119"/>
        <v>女</v>
      </c>
      <c r="F1608" s="7"/>
    </row>
    <row r="1609" spans="1:6" ht="30" customHeight="1">
      <c r="A1609" s="7">
        <v>1607</v>
      </c>
      <c r="B1609" s="7" t="str">
        <f>"34542021112419371852752"</f>
        <v>34542021112419371852752</v>
      </c>
      <c r="C1609" s="7" t="s">
        <v>20</v>
      </c>
      <c r="D1609" s="7" t="str">
        <f>"吴易声"</f>
        <v>吴易声</v>
      </c>
      <c r="E1609" s="7" t="str">
        <f t="shared" si="119"/>
        <v>女</v>
      </c>
      <c r="F1609" s="7"/>
    </row>
    <row r="1610" spans="1:6" ht="30" customHeight="1">
      <c r="A1610" s="7">
        <v>1608</v>
      </c>
      <c r="B1610" s="7" t="str">
        <f>"34542021112422062552811"</f>
        <v>34542021112422062552811</v>
      </c>
      <c r="C1610" s="7" t="s">
        <v>20</v>
      </c>
      <c r="D1610" s="7" t="str">
        <f>"杨志灵"</f>
        <v>杨志灵</v>
      </c>
      <c r="E1610" s="7" t="str">
        <f t="shared" si="119"/>
        <v>女</v>
      </c>
      <c r="F1610" s="7"/>
    </row>
    <row r="1611" spans="1:6" ht="30" customHeight="1">
      <c r="A1611" s="7">
        <v>1609</v>
      </c>
      <c r="B1611" s="7" t="str">
        <f>"34542021112422582852830"</f>
        <v>34542021112422582852830</v>
      </c>
      <c r="C1611" s="7" t="s">
        <v>20</v>
      </c>
      <c r="D1611" s="7" t="str">
        <f>"陈善牡"</f>
        <v>陈善牡</v>
      </c>
      <c r="E1611" s="7" t="str">
        <f t="shared" si="119"/>
        <v>女</v>
      </c>
      <c r="F1611" s="7"/>
    </row>
    <row r="1612" spans="1:6" ht="30" customHeight="1">
      <c r="A1612" s="7">
        <v>1610</v>
      </c>
      <c r="B1612" s="7" t="str">
        <f>"34542021112423013552831"</f>
        <v>34542021112423013552831</v>
      </c>
      <c r="C1612" s="7" t="s">
        <v>20</v>
      </c>
      <c r="D1612" s="7" t="str">
        <f>"陈丽乾"</f>
        <v>陈丽乾</v>
      </c>
      <c r="E1612" s="7" t="str">
        <f t="shared" si="119"/>
        <v>女</v>
      </c>
      <c r="F1612" s="7"/>
    </row>
    <row r="1613" spans="1:6" ht="30" customHeight="1">
      <c r="A1613" s="7">
        <v>1611</v>
      </c>
      <c r="B1613" s="7" t="str">
        <f>"34542021112423272852843"</f>
        <v>34542021112423272852843</v>
      </c>
      <c r="C1613" s="7" t="s">
        <v>20</v>
      </c>
      <c r="D1613" s="7" t="str">
        <f>"吴万胜"</f>
        <v>吴万胜</v>
      </c>
      <c r="E1613" s="7" t="str">
        <f t="shared" si="119"/>
        <v>女</v>
      </c>
      <c r="F1613" s="7"/>
    </row>
    <row r="1614" spans="1:6" ht="30" customHeight="1">
      <c r="A1614" s="7">
        <v>1612</v>
      </c>
      <c r="B1614" s="7" t="str">
        <f>"34542021112423504552850"</f>
        <v>34542021112423504552850</v>
      </c>
      <c r="C1614" s="7" t="s">
        <v>20</v>
      </c>
      <c r="D1614" s="7" t="str">
        <f>"潘小静"</f>
        <v>潘小静</v>
      </c>
      <c r="E1614" s="7" t="str">
        <f t="shared" si="119"/>
        <v>女</v>
      </c>
      <c r="F1614" s="7"/>
    </row>
    <row r="1615" spans="1:6" ht="30" customHeight="1">
      <c r="A1615" s="7">
        <v>1613</v>
      </c>
      <c r="B1615" s="7" t="str">
        <f>"34542021112508374052877"</f>
        <v>34542021112508374052877</v>
      </c>
      <c r="C1615" s="7" t="s">
        <v>20</v>
      </c>
      <c r="D1615" s="7" t="str">
        <f>"何小月"</f>
        <v>何小月</v>
      </c>
      <c r="E1615" s="7" t="str">
        <f t="shared" si="119"/>
        <v>女</v>
      </c>
      <c r="F1615" s="7"/>
    </row>
    <row r="1616" spans="1:6" ht="30" customHeight="1">
      <c r="A1616" s="7">
        <v>1614</v>
      </c>
      <c r="B1616" s="7" t="str">
        <f>"34542021112509113052887"</f>
        <v>34542021112509113052887</v>
      </c>
      <c r="C1616" s="7" t="s">
        <v>20</v>
      </c>
      <c r="D1616" s="7" t="str">
        <f>"朱声泽"</f>
        <v>朱声泽</v>
      </c>
      <c r="E1616" s="7" t="str">
        <f aca="true" t="shared" si="120" ref="E1616:E1621">"男"</f>
        <v>男</v>
      </c>
      <c r="F1616" s="7"/>
    </row>
    <row r="1617" spans="1:6" ht="30" customHeight="1">
      <c r="A1617" s="7">
        <v>1615</v>
      </c>
      <c r="B1617" s="7" t="str">
        <f>"34542021112509155052890"</f>
        <v>34542021112509155052890</v>
      </c>
      <c r="C1617" s="7" t="s">
        <v>20</v>
      </c>
      <c r="D1617" s="7" t="str">
        <f>"熊燕"</f>
        <v>熊燕</v>
      </c>
      <c r="E1617" s="7" t="str">
        <f aca="true" t="shared" si="121" ref="E1617:E1620">"女"</f>
        <v>女</v>
      </c>
      <c r="F1617" s="7"/>
    </row>
    <row r="1618" spans="1:6" ht="30" customHeight="1">
      <c r="A1618" s="7">
        <v>1616</v>
      </c>
      <c r="B1618" s="7" t="str">
        <f>"34542021112509444752905"</f>
        <v>34542021112509444752905</v>
      </c>
      <c r="C1618" s="7" t="s">
        <v>20</v>
      </c>
      <c r="D1618" s="7" t="str">
        <f>"许敏"</f>
        <v>许敏</v>
      </c>
      <c r="E1618" s="7" t="str">
        <f t="shared" si="121"/>
        <v>女</v>
      </c>
      <c r="F1618" s="7"/>
    </row>
    <row r="1619" spans="1:6" ht="30" customHeight="1">
      <c r="A1619" s="7">
        <v>1617</v>
      </c>
      <c r="B1619" s="7" t="str">
        <f>"34542021112511563052961"</f>
        <v>34542021112511563052961</v>
      </c>
      <c r="C1619" s="7" t="s">
        <v>20</v>
      </c>
      <c r="D1619" s="7" t="str">
        <f>"王生泽"</f>
        <v>王生泽</v>
      </c>
      <c r="E1619" s="7" t="str">
        <f t="shared" si="120"/>
        <v>男</v>
      </c>
      <c r="F1619" s="7"/>
    </row>
    <row r="1620" spans="1:6" ht="30" customHeight="1">
      <c r="A1620" s="7">
        <v>1618</v>
      </c>
      <c r="B1620" s="7" t="str">
        <f>"34542021111911254150643"</f>
        <v>34542021111911254150643</v>
      </c>
      <c r="C1620" s="7" t="s">
        <v>21</v>
      </c>
      <c r="D1620" s="7" t="str">
        <f>"王清滢"</f>
        <v>王清滢</v>
      </c>
      <c r="E1620" s="7" t="str">
        <f t="shared" si="121"/>
        <v>女</v>
      </c>
      <c r="F1620" s="7"/>
    </row>
    <row r="1621" spans="1:6" ht="30" customHeight="1">
      <c r="A1621" s="7">
        <v>1619</v>
      </c>
      <c r="B1621" s="7" t="str">
        <f>"34542021112009235551163"</f>
        <v>34542021112009235551163</v>
      </c>
      <c r="C1621" s="7" t="s">
        <v>21</v>
      </c>
      <c r="D1621" s="7" t="str">
        <f>"李世金"</f>
        <v>李世金</v>
      </c>
      <c r="E1621" s="7" t="str">
        <f t="shared" si="120"/>
        <v>男</v>
      </c>
      <c r="F1621" s="7"/>
    </row>
    <row r="1622" spans="1:6" ht="30" customHeight="1">
      <c r="A1622" s="7">
        <v>1620</v>
      </c>
      <c r="B1622" s="7" t="str">
        <f>"34542021112208321351743"</f>
        <v>34542021112208321351743</v>
      </c>
      <c r="C1622" s="7" t="s">
        <v>21</v>
      </c>
      <c r="D1622" s="7" t="str">
        <f>"何冰冰"</f>
        <v>何冰冰</v>
      </c>
      <c r="E1622" s="7" t="str">
        <f>"女"</f>
        <v>女</v>
      </c>
      <c r="F1622" s="7"/>
    </row>
    <row r="1623" spans="1:6" ht="30" customHeight="1">
      <c r="A1623" s="7">
        <v>1621</v>
      </c>
      <c r="B1623" s="7" t="str">
        <f>"34542021112319015452439"</f>
        <v>34542021112319015452439</v>
      </c>
      <c r="C1623" s="7" t="s">
        <v>21</v>
      </c>
      <c r="D1623" s="7" t="str">
        <f>"王艳婷"</f>
        <v>王艳婷</v>
      </c>
      <c r="E1623" s="7" t="str">
        <f>"女"</f>
        <v>女</v>
      </c>
      <c r="F1623" s="7"/>
    </row>
    <row r="1624" spans="1:6" ht="30" customHeight="1">
      <c r="A1624" s="7">
        <v>1622</v>
      </c>
      <c r="B1624" s="7" t="str">
        <f>"34542021111909015550404"</f>
        <v>34542021111909015550404</v>
      </c>
      <c r="C1624" s="7" t="s">
        <v>22</v>
      </c>
      <c r="D1624" s="7" t="str">
        <f>"胡飞"</f>
        <v>胡飞</v>
      </c>
      <c r="E1624" s="7" t="str">
        <f aca="true" t="shared" si="122" ref="E1624:E1629">"男"</f>
        <v>男</v>
      </c>
      <c r="F1624" s="7"/>
    </row>
    <row r="1625" spans="1:6" ht="30" customHeight="1">
      <c r="A1625" s="7">
        <v>1623</v>
      </c>
      <c r="B1625" s="7" t="str">
        <f>"34542021111909033350412"</f>
        <v>34542021111909033350412</v>
      </c>
      <c r="C1625" s="7" t="s">
        <v>22</v>
      </c>
      <c r="D1625" s="7" t="str">
        <f>"林嘉明"</f>
        <v>林嘉明</v>
      </c>
      <c r="E1625" s="7" t="str">
        <f t="shared" si="122"/>
        <v>男</v>
      </c>
      <c r="F1625" s="7"/>
    </row>
    <row r="1626" spans="1:6" ht="30" customHeight="1">
      <c r="A1626" s="7">
        <v>1624</v>
      </c>
      <c r="B1626" s="7" t="str">
        <f>"34542021111909200950448"</f>
        <v>34542021111909200950448</v>
      </c>
      <c r="C1626" s="7" t="s">
        <v>22</v>
      </c>
      <c r="D1626" s="7" t="str">
        <f>"林斌斌"</f>
        <v>林斌斌</v>
      </c>
      <c r="E1626" s="7" t="str">
        <f t="shared" si="122"/>
        <v>男</v>
      </c>
      <c r="F1626" s="7"/>
    </row>
    <row r="1627" spans="1:6" ht="30" customHeight="1">
      <c r="A1627" s="7">
        <v>1625</v>
      </c>
      <c r="B1627" s="7" t="str">
        <f>"34542021111909221750453"</f>
        <v>34542021111909221750453</v>
      </c>
      <c r="C1627" s="7" t="s">
        <v>22</v>
      </c>
      <c r="D1627" s="7" t="str">
        <f>"杨城"</f>
        <v>杨城</v>
      </c>
      <c r="E1627" s="7" t="str">
        <f t="shared" si="122"/>
        <v>男</v>
      </c>
      <c r="F1627" s="7"/>
    </row>
    <row r="1628" spans="1:6" ht="30" customHeight="1">
      <c r="A1628" s="7">
        <v>1626</v>
      </c>
      <c r="B1628" s="7" t="str">
        <f>"34542021111909373950480"</f>
        <v>34542021111909373950480</v>
      </c>
      <c r="C1628" s="7" t="s">
        <v>22</v>
      </c>
      <c r="D1628" s="7" t="str">
        <f>"郑迪"</f>
        <v>郑迪</v>
      </c>
      <c r="E1628" s="7" t="str">
        <f t="shared" si="122"/>
        <v>男</v>
      </c>
      <c r="F1628" s="7"/>
    </row>
    <row r="1629" spans="1:6" ht="30" customHeight="1">
      <c r="A1629" s="7">
        <v>1627</v>
      </c>
      <c r="B1629" s="7" t="str">
        <f>"34542021111909503650498"</f>
        <v>34542021111909503650498</v>
      </c>
      <c r="C1629" s="7" t="s">
        <v>22</v>
      </c>
      <c r="D1629" s="7" t="str">
        <f>"洪海"</f>
        <v>洪海</v>
      </c>
      <c r="E1629" s="7" t="str">
        <f t="shared" si="122"/>
        <v>男</v>
      </c>
      <c r="F1629" s="7"/>
    </row>
    <row r="1630" spans="1:6" ht="30" customHeight="1">
      <c r="A1630" s="7">
        <v>1628</v>
      </c>
      <c r="B1630" s="7" t="str">
        <f>"34542021111909532350502"</f>
        <v>34542021111909532350502</v>
      </c>
      <c r="C1630" s="7" t="s">
        <v>22</v>
      </c>
      <c r="D1630" s="7" t="str">
        <f>"王萍"</f>
        <v>王萍</v>
      </c>
      <c r="E1630" s="7" t="str">
        <f>"女"</f>
        <v>女</v>
      </c>
      <c r="F1630" s="7"/>
    </row>
    <row r="1631" spans="1:6" ht="30" customHeight="1">
      <c r="A1631" s="7">
        <v>1629</v>
      </c>
      <c r="B1631" s="7" t="str">
        <f>"34542021111910014950516"</f>
        <v>34542021111910014950516</v>
      </c>
      <c r="C1631" s="7" t="s">
        <v>22</v>
      </c>
      <c r="D1631" s="7" t="str">
        <f>"李鸿基"</f>
        <v>李鸿基</v>
      </c>
      <c r="E1631" s="7" t="str">
        <f aca="true" t="shared" si="123" ref="E1631:E1634">"男"</f>
        <v>男</v>
      </c>
      <c r="F1631" s="7"/>
    </row>
    <row r="1632" spans="1:6" ht="30" customHeight="1">
      <c r="A1632" s="7">
        <v>1630</v>
      </c>
      <c r="B1632" s="7" t="str">
        <f>"34542021111910111950533"</f>
        <v>34542021111910111950533</v>
      </c>
      <c r="C1632" s="7" t="s">
        <v>22</v>
      </c>
      <c r="D1632" s="7" t="str">
        <f>"王鹏越"</f>
        <v>王鹏越</v>
      </c>
      <c r="E1632" s="7" t="str">
        <f t="shared" si="123"/>
        <v>男</v>
      </c>
      <c r="F1632" s="7"/>
    </row>
    <row r="1633" spans="1:6" ht="30" customHeight="1">
      <c r="A1633" s="7">
        <v>1631</v>
      </c>
      <c r="B1633" s="7" t="str">
        <f>"34542021111910220550549"</f>
        <v>34542021111910220550549</v>
      </c>
      <c r="C1633" s="7" t="s">
        <v>22</v>
      </c>
      <c r="D1633" s="7" t="str">
        <f>"李进恺"</f>
        <v>李进恺</v>
      </c>
      <c r="E1633" s="7" t="str">
        <f t="shared" si="123"/>
        <v>男</v>
      </c>
      <c r="F1633" s="7"/>
    </row>
    <row r="1634" spans="1:6" ht="30" customHeight="1">
      <c r="A1634" s="7">
        <v>1632</v>
      </c>
      <c r="B1634" s="7" t="str">
        <f>"34542021111910414050583"</f>
        <v>34542021111910414050583</v>
      </c>
      <c r="C1634" s="7" t="s">
        <v>22</v>
      </c>
      <c r="D1634" s="7" t="str">
        <f>"杨达新"</f>
        <v>杨达新</v>
      </c>
      <c r="E1634" s="7" t="str">
        <f t="shared" si="123"/>
        <v>男</v>
      </c>
      <c r="F1634" s="7"/>
    </row>
    <row r="1635" spans="1:6" ht="30" customHeight="1">
      <c r="A1635" s="7">
        <v>1633</v>
      </c>
      <c r="B1635" s="7" t="str">
        <f>"34542021111911111950621"</f>
        <v>34542021111911111950621</v>
      </c>
      <c r="C1635" s="7" t="s">
        <v>22</v>
      </c>
      <c r="D1635" s="7" t="str">
        <f>"尹孙琳"</f>
        <v>尹孙琳</v>
      </c>
      <c r="E1635" s="7" t="str">
        <f>"女"</f>
        <v>女</v>
      </c>
      <c r="F1635" s="7"/>
    </row>
    <row r="1636" spans="1:6" ht="30" customHeight="1">
      <c r="A1636" s="7">
        <v>1634</v>
      </c>
      <c r="B1636" s="7" t="str">
        <f>"34542021111911381150663"</f>
        <v>34542021111911381150663</v>
      </c>
      <c r="C1636" s="7" t="s">
        <v>22</v>
      </c>
      <c r="D1636" s="7" t="str">
        <f>"黄小春"</f>
        <v>黄小春</v>
      </c>
      <c r="E1636" s="7" t="str">
        <f>"女"</f>
        <v>女</v>
      </c>
      <c r="F1636" s="7"/>
    </row>
    <row r="1637" spans="1:6" ht="30" customHeight="1">
      <c r="A1637" s="7">
        <v>1635</v>
      </c>
      <c r="B1637" s="7" t="str">
        <f>"34542021111911383850664"</f>
        <v>34542021111911383850664</v>
      </c>
      <c r="C1637" s="7" t="s">
        <v>22</v>
      </c>
      <c r="D1637" s="7" t="str">
        <f>"陈开成"</f>
        <v>陈开成</v>
      </c>
      <c r="E1637" s="7" t="str">
        <f aca="true" t="shared" si="124" ref="E1637:E1642">"男"</f>
        <v>男</v>
      </c>
      <c r="F1637" s="7"/>
    </row>
    <row r="1638" spans="1:6" ht="30" customHeight="1">
      <c r="A1638" s="7">
        <v>1636</v>
      </c>
      <c r="B1638" s="7" t="str">
        <f>"34542021111911462550670"</f>
        <v>34542021111911462550670</v>
      </c>
      <c r="C1638" s="7" t="s">
        <v>22</v>
      </c>
      <c r="D1638" s="7" t="str">
        <f>"苏伟"</f>
        <v>苏伟</v>
      </c>
      <c r="E1638" s="7" t="str">
        <f t="shared" si="124"/>
        <v>男</v>
      </c>
      <c r="F1638" s="7"/>
    </row>
    <row r="1639" spans="1:6" ht="30" customHeight="1">
      <c r="A1639" s="7">
        <v>1637</v>
      </c>
      <c r="B1639" s="7" t="str">
        <f>"34542021111912023050685"</f>
        <v>34542021111912023050685</v>
      </c>
      <c r="C1639" s="7" t="s">
        <v>22</v>
      </c>
      <c r="D1639" s="7" t="str">
        <f>"林超超"</f>
        <v>林超超</v>
      </c>
      <c r="E1639" s="7" t="str">
        <f t="shared" si="124"/>
        <v>男</v>
      </c>
      <c r="F1639" s="7"/>
    </row>
    <row r="1640" spans="1:6" ht="30" customHeight="1">
      <c r="A1640" s="7">
        <v>1638</v>
      </c>
      <c r="B1640" s="7" t="str">
        <f>"34542021111912070150688"</f>
        <v>34542021111912070150688</v>
      </c>
      <c r="C1640" s="7" t="s">
        <v>22</v>
      </c>
      <c r="D1640" s="7" t="str">
        <f>"林儒伟"</f>
        <v>林儒伟</v>
      </c>
      <c r="E1640" s="7" t="str">
        <f t="shared" si="124"/>
        <v>男</v>
      </c>
      <c r="F1640" s="7"/>
    </row>
    <row r="1641" spans="1:6" ht="30" customHeight="1">
      <c r="A1641" s="7">
        <v>1639</v>
      </c>
      <c r="B1641" s="7" t="str">
        <f>"34542021111912393950715"</f>
        <v>34542021111912393950715</v>
      </c>
      <c r="C1641" s="7" t="s">
        <v>22</v>
      </c>
      <c r="D1641" s="7" t="str">
        <f>"林资浩"</f>
        <v>林资浩</v>
      </c>
      <c r="E1641" s="7" t="str">
        <f t="shared" si="124"/>
        <v>男</v>
      </c>
      <c r="F1641" s="7"/>
    </row>
    <row r="1642" spans="1:6" ht="30" customHeight="1">
      <c r="A1642" s="7">
        <v>1640</v>
      </c>
      <c r="B1642" s="7" t="str">
        <f>"34542021111913094450738"</f>
        <v>34542021111913094450738</v>
      </c>
      <c r="C1642" s="7" t="s">
        <v>22</v>
      </c>
      <c r="D1642" s="7" t="str">
        <f>"何海滨"</f>
        <v>何海滨</v>
      </c>
      <c r="E1642" s="7" t="str">
        <f t="shared" si="124"/>
        <v>男</v>
      </c>
      <c r="F1642" s="7"/>
    </row>
    <row r="1643" spans="1:6" ht="30" customHeight="1">
      <c r="A1643" s="7">
        <v>1641</v>
      </c>
      <c r="B1643" s="7" t="str">
        <f>"34542021111913432250764"</f>
        <v>34542021111913432250764</v>
      </c>
      <c r="C1643" s="7" t="s">
        <v>22</v>
      </c>
      <c r="D1643" s="7" t="str">
        <f>"吴春燕"</f>
        <v>吴春燕</v>
      </c>
      <c r="E1643" s="7" t="str">
        <f aca="true" t="shared" si="125" ref="E1643:E1646">"女"</f>
        <v>女</v>
      </c>
      <c r="F1643" s="7"/>
    </row>
    <row r="1644" spans="1:6" ht="30" customHeight="1">
      <c r="A1644" s="7">
        <v>1642</v>
      </c>
      <c r="B1644" s="7" t="str">
        <f>"34542021111915171650838"</f>
        <v>34542021111915171650838</v>
      </c>
      <c r="C1644" s="7" t="s">
        <v>22</v>
      </c>
      <c r="D1644" s="7" t="str">
        <f>"王绪澄"</f>
        <v>王绪澄</v>
      </c>
      <c r="E1644" s="7" t="str">
        <f aca="true" t="shared" si="126" ref="E1644:E1649">"男"</f>
        <v>男</v>
      </c>
      <c r="F1644" s="7"/>
    </row>
    <row r="1645" spans="1:6" ht="30" customHeight="1">
      <c r="A1645" s="7">
        <v>1643</v>
      </c>
      <c r="B1645" s="7" t="str">
        <f>"34542021111915200750844"</f>
        <v>34542021111915200750844</v>
      </c>
      <c r="C1645" s="7" t="s">
        <v>22</v>
      </c>
      <c r="D1645" s="7" t="str">
        <f>"薛石金"</f>
        <v>薛石金</v>
      </c>
      <c r="E1645" s="7" t="str">
        <f t="shared" si="125"/>
        <v>女</v>
      </c>
      <c r="F1645" s="7"/>
    </row>
    <row r="1646" spans="1:6" ht="30" customHeight="1">
      <c r="A1646" s="7">
        <v>1644</v>
      </c>
      <c r="B1646" s="7" t="str">
        <f>"34542021111915214250849"</f>
        <v>34542021111915214250849</v>
      </c>
      <c r="C1646" s="7" t="s">
        <v>22</v>
      </c>
      <c r="D1646" s="7" t="str">
        <f>"符逢桃"</f>
        <v>符逢桃</v>
      </c>
      <c r="E1646" s="7" t="str">
        <f t="shared" si="125"/>
        <v>女</v>
      </c>
      <c r="F1646" s="7"/>
    </row>
    <row r="1647" spans="1:6" ht="30" customHeight="1">
      <c r="A1647" s="7">
        <v>1645</v>
      </c>
      <c r="B1647" s="7" t="str">
        <f>"34542021111915415650869"</f>
        <v>34542021111915415650869</v>
      </c>
      <c r="C1647" s="7" t="s">
        <v>22</v>
      </c>
      <c r="D1647" s="7" t="str">
        <f>"黎志波"</f>
        <v>黎志波</v>
      </c>
      <c r="E1647" s="7" t="str">
        <f t="shared" si="126"/>
        <v>男</v>
      </c>
      <c r="F1647" s="7"/>
    </row>
    <row r="1648" spans="1:6" ht="30" customHeight="1">
      <c r="A1648" s="7">
        <v>1646</v>
      </c>
      <c r="B1648" s="7" t="str">
        <f>"34542021111915452250874"</f>
        <v>34542021111915452250874</v>
      </c>
      <c r="C1648" s="7" t="s">
        <v>22</v>
      </c>
      <c r="D1648" s="7" t="str">
        <f>"符永峰"</f>
        <v>符永峰</v>
      </c>
      <c r="E1648" s="7" t="str">
        <f t="shared" si="126"/>
        <v>男</v>
      </c>
      <c r="F1648" s="7"/>
    </row>
    <row r="1649" spans="1:6" ht="30" customHeight="1">
      <c r="A1649" s="7">
        <v>1647</v>
      </c>
      <c r="B1649" s="7" t="str">
        <f>"34542021111915462050876"</f>
        <v>34542021111915462050876</v>
      </c>
      <c r="C1649" s="7" t="s">
        <v>22</v>
      </c>
      <c r="D1649" s="7" t="str">
        <f>"张伟亮"</f>
        <v>张伟亮</v>
      </c>
      <c r="E1649" s="7" t="str">
        <f t="shared" si="126"/>
        <v>男</v>
      </c>
      <c r="F1649" s="7"/>
    </row>
    <row r="1650" spans="1:6" ht="30" customHeight="1">
      <c r="A1650" s="7">
        <v>1648</v>
      </c>
      <c r="B1650" s="7" t="str">
        <f>"34542021111915480450879"</f>
        <v>34542021111915480450879</v>
      </c>
      <c r="C1650" s="7" t="s">
        <v>22</v>
      </c>
      <c r="D1650" s="7" t="str">
        <f>"李秋香"</f>
        <v>李秋香</v>
      </c>
      <c r="E1650" s="7" t="str">
        <f>"女"</f>
        <v>女</v>
      </c>
      <c r="F1650" s="7"/>
    </row>
    <row r="1651" spans="1:6" ht="30" customHeight="1">
      <c r="A1651" s="7">
        <v>1649</v>
      </c>
      <c r="B1651" s="7" t="str">
        <f>"34542021111915503050882"</f>
        <v>34542021111915503050882</v>
      </c>
      <c r="C1651" s="7" t="s">
        <v>22</v>
      </c>
      <c r="D1651" s="7" t="str">
        <f>"林有礼"</f>
        <v>林有礼</v>
      </c>
      <c r="E1651" s="7" t="str">
        <f aca="true" t="shared" si="127" ref="E1651:E1655">"男"</f>
        <v>男</v>
      </c>
      <c r="F1651" s="7"/>
    </row>
    <row r="1652" spans="1:6" ht="30" customHeight="1">
      <c r="A1652" s="7">
        <v>1650</v>
      </c>
      <c r="B1652" s="7" t="str">
        <f>"34542021111915542150887"</f>
        <v>34542021111915542150887</v>
      </c>
      <c r="C1652" s="7" t="s">
        <v>22</v>
      </c>
      <c r="D1652" s="7" t="str">
        <f>"许嘉明"</f>
        <v>许嘉明</v>
      </c>
      <c r="E1652" s="7" t="str">
        <f t="shared" si="127"/>
        <v>男</v>
      </c>
      <c r="F1652" s="7"/>
    </row>
    <row r="1653" spans="1:6" ht="30" customHeight="1">
      <c r="A1653" s="7">
        <v>1651</v>
      </c>
      <c r="B1653" s="7" t="str">
        <f>"34542021111916155850914"</f>
        <v>34542021111916155850914</v>
      </c>
      <c r="C1653" s="7" t="s">
        <v>22</v>
      </c>
      <c r="D1653" s="7" t="str">
        <f>"林万绵"</f>
        <v>林万绵</v>
      </c>
      <c r="E1653" s="7" t="str">
        <f t="shared" si="127"/>
        <v>男</v>
      </c>
      <c r="F1653" s="7"/>
    </row>
    <row r="1654" spans="1:6" ht="30" customHeight="1">
      <c r="A1654" s="7">
        <v>1652</v>
      </c>
      <c r="B1654" s="7" t="str">
        <f>"34542021111917075850962"</f>
        <v>34542021111917075850962</v>
      </c>
      <c r="C1654" s="7" t="s">
        <v>22</v>
      </c>
      <c r="D1654" s="7" t="str">
        <f>"谢国贤"</f>
        <v>谢国贤</v>
      </c>
      <c r="E1654" s="7" t="str">
        <f t="shared" si="127"/>
        <v>男</v>
      </c>
      <c r="F1654" s="7"/>
    </row>
    <row r="1655" spans="1:6" ht="30" customHeight="1">
      <c r="A1655" s="7">
        <v>1653</v>
      </c>
      <c r="B1655" s="7" t="str">
        <f>"34542021111918524150998"</f>
        <v>34542021111918524150998</v>
      </c>
      <c r="C1655" s="7" t="s">
        <v>22</v>
      </c>
      <c r="D1655" s="7" t="str">
        <f>"王昭璋"</f>
        <v>王昭璋</v>
      </c>
      <c r="E1655" s="7" t="str">
        <f t="shared" si="127"/>
        <v>男</v>
      </c>
      <c r="F1655" s="7"/>
    </row>
    <row r="1656" spans="1:6" ht="30" customHeight="1">
      <c r="A1656" s="7">
        <v>1654</v>
      </c>
      <c r="B1656" s="7" t="str">
        <f>"34542021111920053551036"</f>
        <v>34542021111920053551036</v>
      </c>
      <c r="C1656" s="7" t="s">
        <v>22</v>
      </c>
      <c r="D1656" s="7" t="str">
        <f>"文小苗"</f>
        <v>文小苗</v>
      </c>
      <c r="E1656" s="7" t="str">
        <f aca="true" t="shared" si="128" ref="E1656:E1661">"女"</f>
        <v>女</v>
      </c>
      <c r="F1656" s="7"/>
    </row>
    <row r="1657" spans="1:6" ht="30" customHeight="1">
      <c r="A1657" s="7">
        <v>1655</v>
      </c>
      <c r="B1657" s="7" t="str">
        <f>"34542021111920444951058"</f>
        <v>34542021111920444951058</v>
      </c>
      <c r="C1657" s="7" t="s">
        <v>22</v>
      </c>
      <c r="D1657" s="7" t="str">
        <f>"黄光临"</f>
        <v>黄光临</v>
      </c>
      <c r="E1657" s="7" t="str">
        <f aca="true" t="shared" si="129" ref="E1657:E1667">"男"</f>
        <v>男</v>
      </c>
      <c r="F1657" s="7"/>
    </row>
    <row r="1658" spans="1:6" ht="30" customHeight="1">
      <c r="A1658" s="7">
        <v>1656</v>
      </c>
      <c r="B1658" s="7" t="str">
        <f>"34542021111921100851073"</f>
        <v>34542021111921100851073</v>
      </c>
      <c r="C1658" s="7" t="s">
        <v>22</v>
      </c>
      <c r="D1658" s="7" t="str">
        <f>"陈淑君"</f>
        <v>陈淑君</v>
      </c>
      <c r="E1658" s="7" t="str">
        <f t="shared" si="128"/>
        <v>女</v>
      </c>
      <c r="F1658" s="7"/>
    </row>
    <row r="1659" spans="1:6" ht="30" customHeight="1">
      <c r="A1659" s="7">
        <v>1657</v>
      </c>
      <c r="B1659" s="7" t="str">
        <f>"34542021111921182851078"</f>
        <v>34542021111921182851078</v>
      </c>
      <c r="C1659" s="7" t="s">
        <v>22</v>
      </c>
      <c r="D1659" s="7" t="str">
        <f>"郭福高"</f>
        <v>郭福高</v>
      </c>
      <c r="E1659" s="7" t="str">
        <f t="shared" si="129"/>
        <v>男</v>
      </c>
      <c r="F1659" s="7"/>
    </row>
    <row r="1660" spans="1:6" ht="30" customHeight="1">
      <c r="A1660" s="7">
        <v>1658</v>
      </c>
      <c r="B1660" s="7" t="str">
        <f>"34542021111921230651081"</f>
        <v>34542021111921230651081</v>
      </c>
      <c r="C1660" s="7" t="s">
        <v>22</v>
      </c>
      <c r="D1660" s="7" t="str">
        <f>"许娇燕"</f>
        <v>许娇燕</v>
      </c>
      <c r="E1660" s="7" t="str">
        <f t="shared" si="128"/>
        <v>女</v>
      </c>
      <c r="F1660" s="7"/>
    </row>
    <row r="1661" spans="1:6" ht="30" customHeight="1">
      <c r="A1661" s="7">
        <v>1659</v>
      </c>
      <c r="B1661" s="7" t="str">
        <f>"34542021111921470851095"</f>
        <v>34542021111921470851095</v>
      </c>
      <c r="C1661" s="7" t="s">
        <v>22</v>
      </c>
      <c r="D1661" s="7" t="str">
        <f>"何珍花"</f>
        <v>何珍花</v>
      </c>
      <c r="E1661" s="7" t="str">
        <f t="shared" si="128"/>
        <v>女</v>
      </c>
      <c r="F1661" s="7"/>
    </row>
    <row r="1662" spans="1:6" ht="30" customHeight="1">
      <c r="A1662" s="7">
        <v>1660</v>
      </c>
      <c r="B1662" s="7" t="str">
        <f>"34542021111922540751123"</f>
        <v>34542021111922540751123</v>
      </c>
      <c r="C1662" s="7" t="s">
        <v>22</v>
      </c>
      <c r="D1662" s="7" t="str">
        <f>"郑宾"</f>
        <v>郑宾</v>
      </c>
      <c r="E1662" s="7" t="str">
        <f t="shared" si="129"/>
        <v>男</v>
      </c>
      <c r="F1662" s="7"/>
    </row>
    <row r="1663" spans="1:6" ht="30" customHeight="1">
      <c r="A1663" s="7">
        <v>1661</v>
      </c>
      <c r="B1663" s="7" t="str">
        <f>"34542021111923164551129"</f>
        <v>34542021111923164551129</v>
      </c>
      <c r="C1663" s="7" t="s">
        <v>22</v>
      </c>
      <c r="D1663" s="7" t="str">
        <f>"陈宥霖"</f>
        <v>陈宥霖</v>
      </c>
      <c r="E1663" s="7" t="str">
        <f t="shared" si="129"/>
        <v>男</v>
      </c>
      <c r="F1663" s="7"/>
    </row>
    <row r="1664" spans="1:6" ht="30" customHeight="1">
      <c r="A1664" s="7">
        <v>1662</v>
      </c>
      <c r="B1664" s="7" t="str">
        <f>"34542021111923343151133"</f>
        <v>34542021111923343151133</v>
      </c>
      <c r="C1664" s="7" t="s">
        <v>22</v>
      </c>
      <c r="D1664" s="7" t="str">
        <f>"陈荣威"</f>
        <v>陈荣威</v>
      </c>
      <c r="E1664" s="7" t="str">
        <f t="shared" si="129"/>
        <v>男</v>
      </c>
      <c r="F1664" s="7"/>
    </row>
    <row r="1665" spans="1:6" ht="30" customHeight="1">
      <c r="A1665" s="7">
        <v>1663</v>
      </c>
      <c r="B1665" s="7" t="str">
        <f>"34542021112007583851149"</f>
        <v>34542021112007583851149</v>
      </c>
      <c r="C1665" s="7" t="s">
        <v>22</v>
      </c>
      <c r="D1665" s="7" t="str">
        <f>"羊嘉球"</f>
        <v>羊嘉球</v>
      </c>
      <c r="E1665" s="7" t="str">
        <f t="shared" si="129"/>
        <v>男</v>
      </c>
      <c r="F1665" s="7"/>
    </row>
    <row r="1666" spans="1:6" ht="30" customHeight="1">
      <c r="A1666" s="7">
        <v>1664</v>
      </c>
      <c r="B1666" s="7" t="str">
        <f>"34542021112009171651159"</f>
        <v>34542021112009171651159</v>
      </c>
      <c r="C1666" s="7" t="s">
        <v>22</v>
      </c>
      <c r="D1666" s="7" t="str">
        <f>"羊卓丞"</f>
        <v>羊卓丞</v>
      </c>
      <c r="E1666" s="7" t="str">
        <f t="shared" si="129"/>
        <v>男</v>
      </c>
      <c r="F1666" s="7"/>
    </row>
    <row r="1667" spans="1:6" ht="30" customHeight="1">
      <c r="A1667" s="7">
        <v>1665</v>
      </c>
      <c r="B1667" s="7" t="str">
        <f>"34542021112011413551228"</f>
        <v>34542021112011413551228</v>
      </c>
      <c r="C1667" s="7" t="s">
        <v>22</v>
      </c>
      <c r="D1667" s="7" t="str">
        <f>"陈斌"</f>
        <v>陈斌</v>
      </c>
      <c r="E1667" s="7" t="str">
        <f t="shared" si="129"/>
        <v>男</v>
      </c>
      <c r="F1667" s="7"/>
    </row>
    <row r="1668" spans="1:6" ht="30" customHeight="1">
      <c r="A1668" s="7">
        <v>1666</v>
      </c>
      <c r="B1668" s="7" t="str">
        <f>"34542021112012133751237"</f>
        <v>34542021112012133751237</v>
      </c>
      <c r="C1668" s="7" t="s">
        <v>22</v>
      </c>
      <c r="D1668" s="7" t="str">
        <f>"刘巽娟"</f>
        <v>刘巽娟</v>
      </c>
      <c r="E1668" s="7" t="str">
        <f>"女"</f>
        <v>女</v>
      </c>
      <c r="F1668" s="7"/>
    </row>
    <row r="1669" spans="1:6" ht="30" customHeight="1">
      <c r="A1669" s="7">
        <v>1667</v>
      </c>
      <c r="B1669" s="7" t="str">
        <f>"34542021112013305551268"</f>
        <v>34542021112013305551268</v>
      </c>
      <c r="C1669" s="7" t="s">
        <v>22</v>
      </c>
      <c r="D1669" s="7" t="str">
        <f>"谭永艺"</f>
        <v>谭永艺</v>
      </c>
      <c r="E1669" s="7" t="str">
        <f aca="true" t="shared" si="130" ref="E1669:E1672">"男"</f>
        <v>男</v>
      </c>
      <c r="F1669" s="7"/>
    </row>
    <row r="1670" spans="1:6" ht="30" customHeight="1">
      <c r="A1670" s="7">
        <v>1668</v>
      </c>
      <c r="B1670" s="7" t="str">
        <f>"34542021112016175451310"</f>
        <v>34542021112016175451310</v>
      </c>
      <c r="C1670" s="7" t="s">
        <v>22</v>
      </c>
      <c r="D1670" s="7" t="str">
        <f>"陈浩"</f>
        <v>陈浩</v>
      </c>
      <c r="E1670" s="7" t="str">
        <f t="shared" si="130"/>
        <v>男</v>
      </c>
      <c r="F1670" s="7"/>
    </row>
    <row r="1671" spans="1:6" ht="30" customHeight="1">
      <c r="A1671" s="7">
        <v>1669</v>
      </c>
      <c r="B1671" s="7" t="str">
        <f>"34542021112017045351327"</f>
        <v>34542021112017045351327</v>
      </c>
      <c r="C1671" s="7" t="s">
        <v>22</v>
      </c>
      <c r="D1671" s="7" t="str">
        <f>"谢浩义"</f>
        <v>谢浩义</v>
      </c>
      <c r="E1671" s="7" t="str">
        <f t="shared" si="130"/>
        <v>男</v>
      </c>
      <c r="F1671" s="7"/>
    </row>
    <row r="1672" spans="1:6" ht="30" customHeight="1">
      <c r="A1672" s="7">
        <v>1670</v>
      </c>
      <c r="B1672" s="7" t="str">
        <f>"34542021112017554451348"</f>
        <v>34542021112017554451348</v>
      </c>
      <c r="C1672" s="7" t="s">
        <v>22</v>
      </c>
      <c r="D1672" s="7" t="str">
        <f>"郑仕温"</f>
        <v>郑仕温</v>
      </c>
      <c r="E1672" s="7" t="str">
        <f t="shared" si="130"/>
        <v>男</v>
      </c>
      <c r="F1672" s="7"/>
    </row>
    <row r="1673" spans="1:6" ht="30" customHeight="1">
      <c r="A1673" s="7">
        <v>1671</v>
      </c>
      <c r="B1673" s="7" t="str">
        <f>"34542021112020513351398"</f>
        <v>34542021112020513351398</v>
      </c>
      <c r="C1673" s="7" t="s">
        <v>22</v>
      </c>
      <c r="D1673" s="7" t="str">
        <f>"吴方爱"</f>
        <v>吴方爱</v>
      </c>
      <c r="E1673" s="7" t="str">
        <f>"女"</f>
        <v>女</v>
      </c>
      <c r="F1673" s="7"/>
    </row>
    <row r="1674" spans="1:6" ht="30" customHeight="1">
      <c r="A1674" s="7">
        <v>1672</v>
      </c>
      <c r="B1674" s="7" t="str">
        <f>"34542021112021151751410"</f>
        <v>34542021112021151751410</v>
      </c>
      <c r="C1674" s="7" t="s">
        <v>22</v>
      </c>
      <c r="D1674" s="7" t="str">
        <f>"林先达"</f>
        <v>林先达</v>
      </c>
      <c r="E1674" s="7" t="str">
        <f aca="true" t="shared" si="131" ref="E1674:E1686">"男"</f>
        <v>男</v>
      </c>
      <c r="F1674" s="7"/>
    </row>
    <row r="1675" spans="1:6" ht="30" customHeight="1">
      <c r="A1675" s="7">
        <v>1673</v>
      </c>
      <c r="B1675" s="7" t="str">
        <f>"34542021112022250351433"</f>
        <v>34542021112022250351433</v>
      </c>
      <c r="C1675" s="7" t="s">
        <v>22</v>
      </c>
      <c r="D1675" s="7" t="str">
        <f>"王浩宇"</f>
        <v>王浩宇</v>
      </c>
      <c r="E1675" s="7" t="str">
        <f t="shared" si="131"/>
        <v>男</v>
      </c>
      <c r="F1675" s="7"/>
    </row>
    <row r="1676" spans="1:6" ht="30" customHeight="1">
      <c r="A1676" s="7">
        <v>1674</v>
      </c>
      <c r="B1676" s="7" t="str">
        <f>"34542021112022433051438"</f>
        <v>34542021112022433051438</v>
      </c>
      <c r="C1676" s="7" t="s">
        <v>22</v>
      </c>
      <c r="D1676" s="7" t="str">
        <f>"王铂源"</f>
        <v>王铂源</v>
      </c>
      <c r="E1676" s="7" t="str">
        <f t="shared" si="131"/>
        <v>男</v>
      </c>
      <c r="F1676" s="7"/>
    </row>
    <row r="1677" spans="1:6" ht="30" customHeight="1">
      <c r="A1677" s="7">
        <v>1675</v>
      </c>
      <c r="B1677" s="7" t="str">
        <f>"34542021112106561651456"</f>
        <v>34542021112106561651456</v>
      </c>
      <c r="C1677" s="7" t="s">
        <v>22</v>
      </c>
      <c r="D1677" s="7" t="str">
        <f>"林昌俊"</f>
        <v>林昌俊</v>
      </c>
      <c r="E1677" s="7" t="str">
        <f t="shared" si="131"/>
        <v>男</v>
      </c>
      <c r="F1677" s="7"/>
    </row>
    <row r="1678" spans="1:6" ht="30" customHeight="1">
      <c r="A1678" s="7">
        <v>1676</v>
      </c>
      <c r="B1678" s="7" t="str">
        <f>"34542021112109473651479"</f>
        <v>34542021112109473651479</v>
      </c>
      <c r="C1678" s="7" t="s">
        <v>22</v>
      </c>
      <c r="D1678" s="7" t="str">
        <f>"巫康康"</f>
        <v>巫康康</v>
      </c>
      <c r="E1678" s="7" t="str">
        <f t="shared" si="131"/>
        <v>男</v>
      </c>
      <c r="F1678" s="7"/>
    </row>
    <row r="1679" spans="1:6" ht="30" customHeight="1">
      <c r="A1679" s="7">
        <v>1677</v>
      </c>
      <c r="B1679" s="7" t="str">
        <f>"34542021112111010951503"</f>
        <v>34542021112111010951503</v>
      </c>
      <c r="C1679" s="7" t="s">
        <v>22</v>
      </c>
      <c r="D1679" s="7" t="str">
        <f>"郑孟浩"</f>
        <v>郑孟浩</v>
      </c>
      <c r="E1679" s="7" t="str">
        <f t="shared" si="131"/>
        <v>男</v>
      </c>
      <c r="F1679" s="7"/>
    </row>
    <row r="1680" spans="1:6" ht="30" customHeight="1">
      <c r="A1680" s="7">
        <v>1678</v>
      </c>
      <c r="B1680" s="7" t="str">
        <f>"34542021112111583951522"</f>
        <v>34542021112111583951522</v>
      </c>
      <c r="C1680" s="7" t="s">
        <v>22</v>
      </c>
      <c r="D1680" s="7" t="str">
        <f>"刘廷钟"</f>
        <v>刘廷钟</v>
      </c>
      <c r="E1680" s="7" t="str">
        <f t="shared" si="131"/>
        <v>男</v>
      </c>
      <c r="F1680" s="7"/>
    </row>
    <row r="1681" spans="1:6" ht="30" customHeight="1">
      <c r="A1681" s="7">
        <v>1679</v>
      </c>
      <c r="B1681" s="7" t="str">
        <f>"34542021112115271351582"</f>
        <v>34542021112115271351582</v>
      </c>
      <c r="C1681" s="7" t="s">
        <v>22</v>
      </c>
      <c r="D1681" s="7" t="str">
        <f>"羊健文"</f>
        <v>羊健文</v>
      </c>
      <c r="E1681" s="7" t="str">
        <f t="shared" si="131"/>
        <v>男</v>
      </c>
      <c r="F1681" s="7"/>
    </row>
    <row r="1682" spans="1:6" ht="30" customHeight="1">
      <c r="A1682" s="7">
        <v>1680</v>
      </c>
      <c r="B1682" s="7" t="str">
        <f>"34542021112115392251584"</f>
        <v>34542021112115392251584</v>
      </c>
      <c r="C1682" s="7" t="s">
        <v>22</v>
      </c>
      <c r="D1682" s="7" t="str">
        <f>"符健荣"</f>
        <v>符健荣</v>
      </c>
      <c r="E1682" s="7" t="str">
        <f t="shared" si="131"/>
        <v>男</v>
      </c>
      <c r="F1682" s="7"/>
    </row>
    <row r="1683" spans="1:6" ht="30" customHeight="1">
      <c r="A1683" s="7">
        <v>1681</v>
      </c>
      <c r="B1683" s="7" t="str">
        <f>"34542021112115561751589"</f>
        <v>34542021112115561751589</v>
      </c>
      <c r="C1683" s="7" t="s">
        <v>22</v>
      </c>
      <c r="D1683" s="7" t="str">
        <f>"曾智学"</f>
        <v>曾智学</v>
      </c>
      <c r="E1683" s="7" t="str">
        <f t="shared" si="131"/>
        <v>男</v>
      </c>
      <c r="F1683" s="7"/>
    </row>
    <row r="1684" spans="1:6" ht="30" customHeight="1">
      <c r="A1684" s="7">
        <v>1682</v>
      </c>
      <c r="B1684" s="7" t="str">
        <f>"34542021112116451251606"</f>
        <v>34542021112116451251606</v>
      </c>
      <c r="C1684" s="7" t="s">
        <v>22</v>
      </c>
      <c r="D1684" s="7" t="str">
        <f>"罗源"</f>
        <v>罗源</v>
      </c>
      <c r="E1684" s="7" t="str">
        <f t="shared" si="131"/>
        <v>男</v>
      </c>
      <c r="F1684" s="7"/>
    </row>
    <row r="1685" spans="1:6" ht="30" customHeight="1">
      <c r="A1685" s="7">
        <v>1683</v>
      </c>
      <c r="B1685" s="7" t="str">
        <f>"34542021112116461451608"</f>
        <v>34542021112116461451608</v>
      </c>
      <c r="C1685" s="7" t="s">
        <v>22</v>
      </c>
      <c r="D1685" s="7" t="str">
        <f>"黎崇智"</f>
        <v>黎崇智</v>
      </c>
      <c r="E1685" s="7" t="str">
        <f t="shared" si="131"/>
        <v>男</v>
      </c>
      <c r="F1685" s="7"/>
    </row>
    <row r="1686" spans="1:6" ht="30" customHeight="1">
      <c r="A1686" s="7">
        <v>1684</v>
      </c>
      <c r="B1686" s="7" t="str">
        <f>"34542021112117570551632"</f>
        <v>34542021112117570551632</v>
      </c>
      <c r="C1686" s="7" t="s">
        <v>22</v>
      </c>
      <c r="D1686" s="7" t="str">
        <f>"洪有旺"</f>
        <v>洪有旺</v>
      </c>
      <c r="E1686" s="7" t="str">
        <f t="shared" si="131"/>
        <v>男</v>
      </c>
      <c r="F1686" s="7"/>
    </row>
    <row r="1687" spans="1:6" ht="30" customHeight="1">
      <c r="A1687" s="7">
        <v>1685</v>
      </c>
      <c r="B1687" s="7" t="str">
        <f>"34542021112119432951660"</f>
        <v>34542021112119432951660</v>
      </c>
      <c r="C1687" s="7" t="s">
        <v>22</v>
      </c>
      <c r="D1687" s="7" t="str">
        <f>"吴传曼"</f>
        <v>吴传曼</v>
      </c>
      <c r="E1687" s="7" t="str">
        <f>"女"</f>
        <v>女</v>
      </c>
      <c r="F1687" s="7"/>
    </row>
    <row r="1688" spans="1:6" ht="30" customHeight="1">
      <c r="A1688" s="7">
        <v>1686</v>
      </c>
      <c r="B1688" s="7" t="str">
        <f>"34542021112119513151664"</f>
        <v>34542021112119513151664</v>
      </c>
      <c r="C1688" s="7" t="s">
        <v>22</v>
      </c>
      <c r="D1688" s="7" t="str">
        <f>"王少科"</f>
        <v>王少科</v>
      </c>
      <c r="E1688" s="7" t="str">
        <f aca="true" t="shared" si="132" ref="E1688:E1694">"男"</f>
        <v>男</v>
      </c>
      <c r="F1688" s="7"/>
    </row>
    <row r="1689" spans="1:6" ht="30" customHeight="1">
      <c r="A1689" s="7">
        <v>1687</v>
      </c>
      <c r="B1689" s="7" t="str">
        <f>"34542021112120171151669"</f>
        <v>34542021112120171151669</v>
      </c>
      <c r="C1689" s="7" t="s">
        <v>22</v>
      </c>
      <c r="D1689" s="7" t="str">
        <f>"张廷轩"</f>
        <v>张廷轩</v>
      </c>
      <c r="E1689" s="7" t="str">
        <f t="shared" si="132"/>
        <v>男</v>
      </c>
      <c r="F1689" s="7"/>
    </row>
    <row r="1690" spans="1:6" ht="30" customHeight="1">
      <c r="A1690" s="7">
        <v>1688</v>
      </c>
      <c r="B1690" s="7" t="str">
        <f>"34542021112121140751687"</f>
        <v>34542021112121140751687</v>
      </c>
      <c r="C1690" s="7" t="s">
        <v>22</v>
      </c>
      <c r="D1690" s="7" t="str">
        <f>"曾维成"</f>
        <v>曾维成</v>
      </c>
      <c r="E1690" s="7" t="str">
        <f t="shared" si="132"/>
        <v>男</v>
      </c>
      <c r="F1690" s="7"/>
    </row>
    <row r="1691" spans="1:6" ht="30" customHeight="1">
      <c r="A1691" s="7">
        <v>1689</v>
      </c>
      <c r="B1691" s="7" t="str">
        <f>"34542021112122082051709"</f>
        <v>34542021112122082051709</v>
      </c>
      <c r="C1691" s="7" t="s">
        <v>22</v>
      </c>
      <c r="D1691" s="7" t="str">
        <f>"方中平"</f>
        <v>方中平</v>
      </c>
      <c r="E1691" s="7" t="str">
        <f t="shared" si="132"/>
        <v>男</v>
      </c>
      <c r="F1691" s="7"/>
    </row>
    <row r="1692" spans="1:6" ht="30" customHeight="1">
      <c r="A1692" s="7">
        <v>1690</v>
      </c>
      <c r="B1692" s="7" t="str">
        <f>"34542021112209320951781"</f>
        <v>34542021112209320951781</v>
      </c>
      <c r="C1692" s="7" t="s">
        <v>22</v>
      </c>
      <c r="D1692" s="7" t="str">
        <f>"张伟壮"</f>
        <v>张伟壮</v>
      </c>
      <c r="E1692" s="7" t="str">
        <f t="shared" si="132"/>
        <v>男</v>
      </c>
      <c r="F1692" s="7"/>
    </row>
    <row r="1693" spans="1:6" ht="30" customHeight="1">
      <c r="A1693" s="7">
        <v>1691</v>
      </c>
      <c r="B1693" s="7" t="str">
        <f>"34542021112209481851797"</f>
        <v>34542021112209481851797</v>
      </c>
      <c r="C1693" s="7" t="s">
        <v>22</v>
      </c>
      <c r="D1693" s="7" t="str">
        <f>"李学超"</f>
        <v>李学超</v>
      </c>
      <c r="E1693" s="7" t="str">
        <f t="shared" si="132"/>
        <v>男</v>
      </c>
      <c r="F1693" s="7"/>
    </row>
    <row r="1694" spans="1:6" ht="30" customHeight="1">
      <c r="A1694" s="7">
        <v>1692</v>
      </c>
      <c r="B1694" s="7" t="str">
        <f>"34542021112209495651798"</f>
        <v>34542021112209495651798</v>
      </c>
      <c r="C1694" s="7" t="s">
        <v>22</v>
      </c>
      <c r="D1694" s="7" t="str">
        <f>"李文多"</f>
        <v>李文多</v>
      </c>
      <c r="E1694" s="7" t="str">
        <f t="shared" si="132"/>
        <v>男</v>
      </c>
      <c r="F1694" s="7"/>
    </row>
    <row r="1695" spans="1:6" ht="30" customHeight="1">
      <c r="A1695" s="7">
        <v>1693</v>
      </c>
      <c r="B1695" s="7" t="str">
        <f>"34542021112209524551803"</f>
        <v>34542021112209524551803</v>
      </c>
      <c r="C1695" s="7" t="s">
        <v>22</v>
      </c>
      <c r="D1695" s="7" t="str">
        <f>"王子慧"</f>
        <v>王子慧</v>
      </c>
      <c r="E1695" s="7" t="str">
        <f aca="true" t="shared" si="133" ref="E1695:E1701">"女"</f>
        <v>女</v>
      </c>
      <c r="F1695" s="7"/>
    </row>
    <row r="1696" spans="1:6" ht="30" customHeight="1">
      <c r="A1696" s="7">
        <v>1694</v>
      </c>
      <c r="B1696" s="7" t="str">
        <f>"34542021112210193351824"</f>
        <v>34542021112210193351824</v>
      </c>
      <c r="C1696" s="7" t="s">
        <v>22</v>
      </c>
      <c r="D1696" s="7" t="str">
        <f>"蒙绪龙"</f>
        <v>蒙绪龙</v>
      </c>
      <c r="E1696" s="7" t="str">
        <f aca="true" t="shared" si="134" ref="E1696:E1699">"男"</f>
        <v>男</v>
      </c>
      <c r="F1696" s="7"/>
    </row>
    <row r="1697" spans="1:6" ht="30" customHeight="1">
      <c r="A1697" s="7">
        <v>1695</v>
      </c>
      <c r="B1697" s="7" t="str">
        <f>"34542021112210220351825"</f>
        <v>34542021112210220351825</v>
      </c>
      <c r="C1697" s="7" t="s">
        <v>22</v>
      </c>
      <c r="D1697" s="7" t="str">
        <f>"杨易"</f>
        <v>杨易</v>
      </c>
      <c r="E1697" s="7" t="str">
        <f t="shared" si="133"/>
        <v>女</v>
      </c>
      <c r="F1697" s="7"/>
    </row>
    <row r="1698" spans="1:6" ht="30" customHeight="1">
      <c r="A1698" s="7">
        <v>1696</v>
      </c>
      <c r="B1698" s="7" t="str">
        <f>"34542021112210225251826"</f>
        <v>34542021112210225251826</v>
      </c>
      <c r="C1698" s="7" t="s">
        <v>22</v>
      </c>
      <c r="D1698" s="7" t="str">
        <f>"符浩"</f>
        <v>符浩</v>
      </c>
      <c r="E1698" s="7" t="str">
        <f t="shared" si="134"/>
        <v>男</v>
      </c>
      <c r="F1698" s="7"/>
    </row>
    <row r="1699" spans="1:6" ht="30" customHeight="1">
      <c r="A1699" s="7">
        <v>1697</v>
      </c>
      <c r="B1699" s="7" t="str">
        <f>"34542021112210431551849"</f>
        <v>34542021112210431551849</v>
      </c>
      <c r="C1699" s="7" t="s">
        <v>22</v>
      </c>
      <c r="D1699" s="7" t="str">
        <f>"钟温滨"</f>
        <v>钟温滨</v>
      </c>
      <c r="E1699" s="7" t="str">
        <f t="shared" si="134"/>
        <v>男</v>
      </c>
      <c r="F1699" s="7"/>
    </row>
    <row r="1700" spans="1:6" ht="30" customHeight="1">
      <c r="A1700" s="7">
        <v>1698</v>
      </c>
      <c r="B1700" s="7" t="str">
        <f>"34542021112210535551855"</f>
        <v>34542021112210535551855</v>
      </c>
      <c r="C1700" s="7" t="s">
        <v>22</v>
      </c>
      <c r="D1700" s="7" t="str">
        <f>"沈善女"</f>
        <v>沈善女</v>
      </c>
      <c r="E1700" s="7" t="str">
        <f t="shared" si="133"/>
        <v>女</v>
      </c>
      <c r="F1700" s="7"/>
    </row>
    <row r="1701" spans="1:6" ht="30" customHeight="1">
      <c r="A1701" s="7">
        <v>1699</v>
      </c>
      <c r="B1701" s="7" t="str">
        <f>"34542021112211054451862"</f>
        <v>34542021112211054451862</v>
      </c>
      <c r="C1701" s="7" t="s">
        <v>22</v>
      </c>
      <c r="D1701" s="7" t="str">
        <f>"曾婷"</f>
        <v>曾婷</v>
      </c>
      <c r="E1701" s="7" t="str">
        <f t="shared" si="133"/>
        <v>女</v>
      </c>
      <c r="F1701" s="7"/>
    </row>
    <row r="1702" spans="1:6" ht="30" customHeight="1">
      <c r="A1702" s="7">
        <v>1700</v>
      </c>
      <c r="B1702" s="7" t="str">
        <f>"34542021112211531151885"</f>
        <v>34542021112211531151885</v>
      </c>
      <c r="C1702" s="7" t="s">
        <v>22</v>
      </c>
      <c r="D1702" s="7" t="str">
        <f>"陈文河"</f>
        <v>陈文河</v>
      </c>
      <c r="E1702" s="7" t="str">
        <f aca="true" t="shared" si="135" ref="E1702:E1710">"男"</f>
        <v>男</v>
      </c>
      <c r="F1702" s="7"/>
    </row>
    <row r="1703" spans="1:6" ht="30" customHeight="1">
      <c r="A1703" s="7">
        <v>1701</v>
      </c>
      <c r="B1703" s="7" t="str">
        <f>"34542021112211593851888"</f>
        <v>34542021112211593851888</v>
      </c>
      <c r="C1703" s="7" t="s">
        <v>22</v>
      </c>
      <c r="D1703" s="7" t="str">
        <f>"麦朗燕"</f>
        <v>麦朗燕</v>
      </c>
      <c r="E1703" s="7" t="str">
        <f>"女"</f>
        <v>女</v>
      </c>
      <c r="F1703" s="7"/>
    </row>
    <row r="1704" spans="1:6" ht="30" customHeight="1">
      <c r="A1704" s="7">
        <v>1702</v>
      </c>
      <c r="B1704" s="7" t="str">
        <f>"34542021112212050851892"</f>
        <v>34542021112212050851892</v>
      </c>
      <c r="C1704" s="7" t="s">
        <v>22</v>
      </c>
      <c r="D1704" s="7" t="str">
        <f>"林耀棱"</f>
        <v>林耀棱</v>
      </c>
      <c r="E1704" s="7" t="str">
        <f t="shared" si="135"/>
        <v>男</v>
      </c>
      <c r="F1704" s="7"/>
    </row>
    <row r="1705" spans="1:6" ht="30" customHeight="1">
      <c r="A1705" s="7">
        <v>1703</v>
      </c>
      <c r="B1705" s="7" t="str">
        <f>"34542021112213113551917"</f>
        <v>34542021112213113551917</v>
      </c>
      <c r="C1705" s="7" t="s">
        <v>22</v>
      </c>
      <c r="D1705" s="7" t="str">
        <f>"郑义栋"</f>
        <v>郑义栋</v>
      </c>
      <c r="E1705" s="7" t="str">
        <f t="shared" si="135"/>
        <v>男</v>
      </c>
      <c r="F1705" s="7"/>
    </row>
    <row r="1706" spans="1:6" ht="30" customHeight="1">
      <c r="A1706" s="7">
        <v>1704</v>
      </c>
      <c r="B1706" s="7" t="str">
        <f>"34542021112214422051942"</f>
        <v>34542021112214422051942</v>
      </c>
      <c r="C1706" s="7" t="s">
        <v>22</v>
      </c>
      <c r="D1706" s="7" t="str">
        <f>"杨向佳"</f>
        <v>杨向佳</v>
      </c>
      <c r="E1706" s="7" t="str">
        <f t="shared" si="135"/>
        <v>男</v>
      </c>
      <c r="F1706" s="7"/>
    </row>
    <row r="1707" spans="1:6" ht="30" customHeight="1">
      <c r="A1707" s="7">
        <v>1705</v>
      </c>
      <c r="B1707" s="7" t="str">
        <f>"34542021112214554751949"</f>
        <v>34542021112214554751949</v>
      </c>
      <c r="C1707" s="7" t="s">
        <v>22</v>
      </c>
      <c r="D1707" s="7" t="str">
        <f>"陈喜高"</f>
        <v>陈喜高</v>
      </c>
      <c r="E1707" s="7" t="str">
        <f t="shared" si="135"/>
        <v>男</v>
      </c>
      <c r="F1707" s="7"/>
    </row>
    <row r="1708" spans="1:6" ht="30" customHeight="1">
      <c r="A1708" s="7">
        <v>1706</v>
      </c>
      <c r="B1708" s="7" t="str">
        <f>"34542021112215155551956"</f>
        <v>34542021112215155551956</v>
      </c>
      <c r="C1708" s="7" t="s">
        <v>22</v>
      </c>
      <c r="D1708" s="7" t="str">
        <f>"符进童"</f>
        <v>符进童</v>
      </c>
      <c r="E1708" s="7" t="str">
        <f t="shared" si="135"/>
        <v>男</v>
      </c>
      <c r="F1708" s="7"/>
    </row>
    <row r="1709" spans="1:6" ht="30" customHeight="1">
      <c r="A1709" s="7">
        <v>1707</v>
      </c>
      <c r="B1709" s="7" t="str">
        <f>"34542021112215221451961"</f>
        <v>34542021112215221451961</v>
      </c>
      <c r="C1709" s="7" t="s">
        <v>22</v>
      </c>
      <c r="D1709" s="7" t="str">
        <f>"符宁邦"</f>
        <v>符宁邦</v>
      </c>
      <c r="E1709" s="7" t="str">
        <f t="shared" si="135"/>
        <v>男</v>
      </c>
      <c r="F1709" s="7"/>
    </row>
    <row r="1710" spans="1:6" ht="30" customHeight="1">
      <c r="A1710" s="7">
        <v>1708</v>
      </c>
      <c r="B1710" s="7" t="str">
        <f>"34542021112215284451966"</f>
        <v>34542021112215284451966</v>
      </c>
      <c r="C1710" s="7" t="s">
        <v>22</v>
      </c>
      <c r="D1710" s="7" t="str">
        <f>"符正荣"</f>
        <v>符正荣</v>
      </c>
      <c r="E1710" s="7" t="str">
        <f t="shared" si="135"/>
        <v>男</v>
      </c>
      <c r="F1710" s="7"/>
    </row>
    <row r="1711" spans="1:6" ht="30" customHeight="1">
      <c r="A1711" s="7">
        <v>1709</v>
      </c>
      <c r="B1711" s="7" t="str">
        <f>"34542021112215313051971"</f>
        <v>34542021112215313051971</v>
      </c>
      <c r="C1711" s="7" t="s">
        <v>22</v>
      </c>
      <c r="D1711" s="7" t="str">
        <f>"羊德娟"</f>
        <v>羊德娟</v>
      </c>
      <c r="E1711" s="7" t="str">
        <f>"女"</f>
        <v>女</v>
      </c>
      <c r="F1711" s="7"/>
    </row>
    <row r="1712" spans="1:6" ht="30" customHeight="1">
      <c r="A1712" s="7">
        <v>1710</v>
      </c>
      <c r="B1712" s="7" t="str">
        <f>"34542021112216035151992"</f>
        <v>34542021112216035151992</v>
      </c>
      <c r="C1712" s="7" t="s">
        <v>22</v>
      </c>
      <c r="D1712" s="7" t="str">
        <f>"刘伍"</f>
        <v>刘伍</v>
      </c>
      <c r="E1712" s="7" t="str">
        <f>"女"</f>
        <v>女</v>
      </c>
      <c r="F1712" s="7"/>
    </row>
    <row r="1713" spans="1:6" ht="30" customHeight="1">
      <c r="A1713" s="7">
        <v>1711</v>
      </c>
      <c r="B1713" s="7" t="str">
        <f>"34542021112217264052043"</f>
        <v>34542021112217264052043</v>
      </c>
      <c r="C1713" s="7" t="s">
        <v>22</v>
      </c>
      <c r="D1713" s="7" t="str">
        <f>"李绪光"</f>
        <v>李绪光</v>
      </c>
      <c r="E1713" s="7" t="str">
        <f aca="true" t="shared" si="136" ref="E1713:E1716">"男"</f>
        <v>男</v>
      </c>
      <c r="F1713" s="7"/>
    </row>
    <row r="1714" spans="1:6" ht="30" customHeight="1">
      <c r="A1714" s="7">
        <v>1712</v>
      </c>
      <c r="B1714" s="7" t="str">
        <f>"34542021112217321652045"</f>
        <v>34542021112217321652045</v>
      </c>
      <c r="C1714" s="7" t="s">
        <v>22</v>
      </c>
      <c r="D1714" s="7" t="str">
        <f>"关宏伟"</f>
        <v>关宏伟</v>
      </c>
      <c r="E1714" s="7" t="str">
        <f t="shared" si="136"/>
        <v>男</v>
      </c>
      <c r="F1714" s="7"/>
    </row>
    <row r="1715" spans="1:6" ht="30" customHeight="1">
      <c r="A1715" s="7">
        <v>1713</v>
      </c>
      <c r="B1715" s="7" t="str">
        <f>"34542021112217433852052"</f>
        <v>34542021112217433852052</v>
      </c>
      <c r="C1715" s="7" t="s">
        <v>22</v>
      </c>
      <c r="D1715" s="7" t="str">
        <f>"彭盛开"</f>
        <v>彭盛开</v>
      </c>
      <c r="E1715" s="7" t="str">
        <f t="shared" si="136"/>
        <v>男</v>
      </c>
      <c r="F1715" s="7"/>
    </row>
    <row r="1716" spans="1:6" ht="30" customHeight="1">
      <c r="A1716" s="7">
        <v>1714</v>
      </c>
      <c r="B1716" s="7" t="str">
        <f>"34542021112218094552064"</f>
        <v>34542021112218094552064</v>
      </c>
      <c r="C1716" s="7" t="s">
        <v>22</v>
      </c>
      <c r="D1716" s="7" t="str">
        <f>"吴杨宇"</f>
        <v>吴杨宇</v>
      </c>
      <c r="E1716" s="7" t="str">
        <f t="shared" si="136"/>
        <v>男</v>
      </c>
      <c r="F1716" s="7"/>
    </row>
    <row r="1717" spans="1:6" ht="30" customHeight="1">
      <c r="A1717" s="7">
        <v>1715</v>
      </c>
      <c r="B1717" s="7" t="str">
        <f>"34542021112218195252066"</f>
        <v>34542021112218195252066</v>
      </c>
      <c r="C1717" s="7" t="s">
        <v>22</v>
      </c>
      <c r="D1717" s="7" t="str">
        <f>"李宗清"</f>
        <v>李宗清</v>
      </c>
      <c r="E1717" s="7" t="str">
        <f aca="true" t="shared" si="137" ref="E1717:E1722">"女"</f>
        <v>女</v>
      </c>
      <c r="F1717" s="7"/>
    </row>
    <row r="1718" spans="1:6" ht="30" customHeight="1">
      <c r="A1718" s="7">
        <v>1716</v>
      </c>
      <c r="B1718" s="7" t="str">
        <f>"34542021112219562352098"</f>
        <v>34542021112219562352098</v>
      </c>
      <c r="C1718" s="7" t="s">
        <v>22</v>
      </c>
      <c r="D1718" s="7" t="str">
        <f>"万达斌"</f>
        <v>万达斌</v>
      </c>
      <c r="E1718" s="7" t="str">
        <f aca="true" t="shared" si="138" ref="E1718:E1720">"男"</f>
        <v>男</v>
      </c>
      <c r="F1718" s="7"/>
    </row>
    <row r="1719" spans="1:6" ht="30" customHeight="1">
      <c r="A1719" s="7">
        <v>1717</v>
      </c>
      <c r="B1719" s="7" t="str">
        <f>"34542021112220191552108"</f>
        <v>34542021112220191552108</v>
      </c>
      <c r="C1719" s="7" t="s">
        <v>22</v>
      </c>
      <c r="D1719" s="7" t="str">
        <f>"王开道"</f>
        <v>王开道</v>
      </c>
      <c r="E1719" s="7" t="str">
        <f t="shared" si="138"/>
        <v>男</v>
      </c>
      <c r="F1719" s="7"/>
    </row>
    <row r="1720" spans="1:6" ht="30" customHeight="1">
      <c r="A1720" s="7">
        <v>1718</v>
      </c>
      <c r="B1720" s="7" t="str">
        <f>"34542021112220471252115"</f>
        <v>34542021112220471252115</v>
      </c>
      <c r="C1720" s="7" t="s">
        <v>22</v>
      </c>
      <c r="D1720" s="7" t="str">
        <f>"麦伟高"</f>
        <v>麦伟高</v>
      </c>
      <c r="E1720" s="7" t="str">
        <f t="shared" si="138"/>
        <v>男</v>
      </c>
      <c r="F1720" s="7"/>
    </row>
    <row r="1721" spans="1:6" ht="30" customHeight="1">
      <c r="A1721" s="7">
        <v>1719</v>
      </c>
      <c r="B1721" s="7" t="str">
        <f>"34542021112221325552136"</f>
        <v>34542021112221325552136</v>
      </c>
      <c r="C1721" s="7" t="s">
        <v>22</v>
      </c>
      <c r="D1721" s="7" t="str">
        <f>"陈婷涓"</f>
        <v>陈婷涓</v>
      </c>
      <c r="E1721" s="7" t="str">
        <f t="shared" si="137"/>
        <v>女</v>
      </c>
      <c r="F1721" s="7"/>
    </row>
    <row r="1722" spans="1:6" ht="30" customHeight="1">
      <c r="A1722" s="7">
        <v>1720</v>
      </c>
      <c r="B1722" s="7" t="str">
        <f>"34542021112221533652147"</f>
        <v>34542021112221533652147</v>
      </c>
      <c r="C1722" s="7" t="s">
        <v>22</v>
      </c>
      <c r="D1722" s="7" t="str">
        <f>"林芳玲"</f>
        <v>林芳玲</v>
      </c>
      <c r="E1722" s="7" t="str">
        <f t="shared" si="137"/>
        <v>女</v>
      </c>
      <c r="F1722" s="7"/>
    </row>
    <row r="1723" spans="1:6" ht="30" customHeight="1">
      <c r="A1723" s="7">
        <v>1721</v>
      </c>
      <c r="B1723" s="7" t="str">
        <f>"34542021112222232352162"</f>
        <v>34542021112222232352162</v>
      </c>
      <c r="C1723" s="7" t="s">
        <v>22</v>
      </c>
      <c r="D1723" s="7" t="str">
        <f>"孙庆思"</f>
        <v>孙庆思</v>
      </c>
      <c r="E1723" s="7" t="str">
        <f aca="true" t="shared" si="139" ref="E1723:E1736">"男"</f>
        <v>男</v>
      </c>
      <c r="F1723" s="7"/>
    </row>
    <row r="1724" spans="1:6" ht="30" customHeight="1">
      <c r="A1724" s="7">
        <v>1722</v>
      </c>
      <c r="B1724" s="7" t="str">
        <f>"34542021112222502652168"</f>
        <v>34542021112222502652168</v>
      </c>
      <c r="C1724" s="7" t="s">
        <v>22</v>
      </c>
      <c r="D1724" s="7" t="str">
        <f>"李定勷"</f>
        <v>李定勷</v>
      </c>
      <c r="E1724" s="7" t="str">
        <f t="shared" si="139"/>
        <v>男</v>
      </c>
      <c r="F1724" s="7"/>
    </row>
    <row r="1725" spans="1:6" ht="30" customHeight="1">
      <c r="A1725" s="7">
        <v>1723</v>
      </c>
      <c r="B1725" s="7" t="str">
        <f>"34542021112222513552169"</f>
        <v>34542021112222513552169</v>
      </c>
      <c r="C1725" s="7" t="s">
        <v>22</v>
      </c>
      <c r="D1725" s="7" t="str">
        <f>"蔡崇法"</f>
        <v>蔡崇法</v>
      </c>
      <c r="E1725" s="7" t="str">
        <f t="shared" si="139"/>
        <v>男</v>
      </c>
      <c r="F1725" s="7"/>
    </row>
    <row r="1726" spans="1:6" ht="30" customHeight="1">
      <c r="A1726" s="7">
        <v>1724</v>
      </c>
      <c r="B1726" s="7" t="str">
        <f>"34542021112308510452198"</f>
        <v>34542021112308510452198</v>
      </c>
      <c r="C1726" s="7" t="s">
        <v>22</v>
      </c>
      <c r="D1726" s="7" t="str">
        <f>"何昶源"</f>
        <v>何昶源</v>
      </c>
      <c r="E1726" s="7" t="str">
        <f t="shared" si="139"/>
        <v>男</v>
      </c>
      <c r="F1726" s="7"/>
    </row>
    <row r="1727" spans="1:6" ht="30" customHeight="1">
      <c r="A1727" s="7">
        <v>1725</v>
      </c>
      <c r="B1727" s="7" t="str">
        <f>"34542021112309035952203"</f>
        <v>34542021112309035952203</v>
      </c>
      <c r="C1727" s="7" t="s">
        <v>22</v>
      </c>
      <c r="D1727" s="7" t="str">
        <f>"苏华相"</f>
        <v>苏华相</v>
      </c>
      <c r="E1727" s="7" t="str">
        <f t="shared" si="139"/>
        <v>男</v>
      </c>
      <c r="F1727" s="7"/>
    </row>
    <row r="1728" spans="1:6" ht="30" customHeight="1">
      <c r="A1728" s="7">
        <v>1726</v>
      </c>
      <c r="B1728" s="7" t="str">
        <f>"34542021112309523552221"</f>
        <v>34542021112309523552221</v>
      </c>
      <c r="C1728" s="7" t="s">
        <v>22</v>
      </c>
      <c r="D1728" s="7" t="str">
        <f>"吴永京"</f>
        <v>吴永京</v>
      </c>
      <c r="E1728" s="7" t="str">
        <f t="shared" si="139"/>
        <v>男</v>
      </c>
      <c r="F1728" s="7"/>
    </row>
    <row r="1729" spans="1:6" ht="30" customHeight="1">
      <c r="A1729" s="7">
        <v>1727</v>
      </c>
      <c r="B1729" s="7" t="str">
        <f>"34542021112310015252224"</f>
        <v>34542021112310015252224</v>
      </c>
      <c r="C1729" s="7" t="s">
        <v>22</v>
      </c>
      <c r="D1729" s="7" t="str">
        <f>"郭启宏"</f>
        <v>郭启宏</v>
      </c>
      <c r="E1729" s="7" t="str">
        <f t="shared" si="139"/>
        <v>男</v>
      </c>
      <c r="F1729" s="7"/>
    </row>
    <row r="1730" spans="1:6" ht="30" customHeight="1">
      <c r="A1730" s="7">
        <v>1728</v>
      </c>
      <c r="B1730" s="7" t="str">
        <f>"34542021112310082752229"</f>
        <v>34542021112310082752229</v>
      </c>
      <c r="C1730" s="7" t="s">
        <v>22</v>
      </c>
      <c r="D1730" s="7" t="str">
        <f>"许绩伟"</f>
        <v>许绩伟</v>
      </c>
      <c r="E1730" s="7" t="str">
        <f t="shared" si="139"/>
        <v>男</v>
      </c>
      <c r="F1730" s="7"/>
    </row>
    <row r="1731" spans="1:6" ht="30" customHeight="1">
      <c r="A1731" s="7">
        <v>1729</v>
      </c>
      <c r="B1731" s="7" t="str">
        <f>"34542021112311040852251"</f>
        <v>34542021112311040852251</v>
      </c>
      <c r="C1731" s="7" t="s">
        <v>22</v>
      </c>
      <c r="D1731" s="7" t="str">
        <f>"严东"</f>
        <v>严东</v>
      </c>
      <c r="E1731" s="7" t="str">
        <f t="shared" si="139"/>
        <v>男</v>
      </c>
      <c r="F1731" s="7"/>
    </row>
    <row r="1732" spans="1:6" ht="30" customHeight="1">
      <c r="A1732" s="7">
        <v>1730</v>
      </c>
      <c r="B1732" s="7" t="str">
        <f>"34542021112311455752271"</f>
        <v>34542021112311455752271</v>
      </c>
      <c r="C1732" s="7" t="s">
        <v>22</v>
      </c>
      <c r="D1732" s="7" t="str">
        <f>"王运仙"</f>
        <v>王运仙</v>
      </c>
      <c r="E1732" s="7" t="str">
        <f t="shared" si="139"/>
        <v>男</v>
      </c>
      <c r="F1732" s="7"/>
    </row>
    <row r="1733" spans="1:6" ht="30" customHeight="1">
      <c r="A1733" s="7">
        <v>1731</v>
      </c>
      <c r="B1733" s="7" t="str">
        <f>"34542021112311480452273"</f>
        <v>34542021112311480452273</v>
      </c>
      <c r="C1733" s="7" t="s">
        <v>22</v>
      </c>
      <c r="D1733" s="7" t="str">
        <f>"郭卫兵"</f>
        <v>郭卫兵</v>
      </c>
      <c r="E1733" s="7" t="str">
        <f t="shared" si="139"/>
        <v>男</v>
      </c>
      <c r="F1733" s="7"/>
    </row>
    <row r="1734" spans="1:6" ht="30" customHeight="1">
      <c r="A1734" s="7">
        <v>1732</v>
      </c>
      <c r="B1734" s="7" t="str">
        <f>"34542021112312045752282"</f>
        <v>34542021112312045752282</v>
      </c>
      <c r="C1734" s="7" t="s">
        <v>22</v>
      </c>
      <c r="D1734" s="7" t="str">
        <f>"符荣宝"</f>
        <v>符荣宝</v>
      </c>
      <c r="E1734" s="7" t="str">
        <f t="shared" si="139"/>
        <v>男</v>
      </c>
      <c r="F1734" s="7"/>
    </row>
    <row r="1735" spans="1:6" ht="30" customHeight="1">
      <c r="A1735" s="7">
        <v>1733</v>
      </c>
      <c r="B1735" s="7" t="str">
        <f>"34542021112313092952304"</f>
        <v>34542021112313092952304</v>
      </c>
      <c r="C1735" s="7" t="s">
        <v>22</v>
      </c>
      <c r="D1735" s="7" t="str">
        <f>"李自奎"</f>
        <v>李自奎</v>
      </c>
      <c r="E1735" s="7" t="str">
        <f t="shared" si="139"/>
        <v>男</v>
      </c>
      <c r="F1735" s="7"/>
    </row>
    <row r="1736" spans="1:6" ht="30" customHeight="1">
      <c r="A1736" s="7">
        <v>1734</v>
      </c>
      <c r="B1736" s="7" t="str">
        <f>"34542021112315580652361"</f>
        <v>34542021112315580652361</v>
      </c>
      <c r="C1736" s="7" t="s">
        <v>22</v>
      </c>
      <c r="D1736" s="7" t="str">
        <f>"郭仁海"</f>
        <v>郭仁海</v>
      </c>
      <c r="E1736" s="7" t="str">
        <f t="shared" si="139"/>
        <v>男</v>
      </c>
      <c r="F1736" s="7"/>
    </row>
    <row r="1737" spans="1:6" ht="30" customHeight="1">
      <c r="A1737" s="7">
        <v>1735</v>
      </c>
      <c r="B1737" s="7" t="str">
        <f>"34542021112316020252364"</f>
        <v>34542021112316020252364</v>
      </c>
      <c r="C1737" s="7" t="s">
        <v>22</v>
      </c>
      <c r="D1737" s="7" t="str">
        <f>"陈丽娜"</f>
        <v>陈丽娜</v>
      </c>
      <c r="E1737" s="7" t="str">
        <f aca="true" t="shared" si="140" ref="E1737:E1740">"女"</f>
        <v>女</v>
      </c>
      <c r="F1737" s="7"/>
    </row>
    <row r="1738" spans="1:6" ht="30" customHeight="1">
      <c r="A1738" s="7">
        <v>1736</v>
      </c>
      <c r="B1738" s="7" t="str">
        <f>"34542021112316581652393"</f>
        <v>34542021112316581652393</v>
      </c>
      <c r="C1738" s="7" t="s">
        <v>22</v>
      </c>
      <c r="D1738" s="7" t="str">
        <f>"王祉平"</f>
        <v>王祉平</v>
      </c>
      <c r="E1738" s="7" t="str">
        <f aca="true" t="shared" si="141" ref="E1738:E1743">"男"</f>
        <v>男</v>
      </c>
      <c r="F1738" s="7"/>
    </row>
    <row r="1739" spans="1:6" ht="30" customHeight="1">
      <c r="A1739" s="7">
        <v>1737</v>
      </c>
      <c r="B1739" s="7" t="str">
        <f>"34542021112317101152398"</f>
        <v>34542021112317101152398</v>
      </c>
      <c r="C1739" s="7" t="s">
        <v>22</v>
      </c>
      <c r="D1739" s="7" t="str">
        <f>"华红伶"</f>
        <v>华红伶</v>
      </c>
      <c r="E1739" s="7" t="str">
        <f t="shared" si="140"/>
        <v>女</v>
      </c>
      <c r="F1739" s="7"/>
    </row>
    <row r="1740" spans="1:6" ht="30" customHeight="1">
      <c r="A1740" s="7">
        <v>1738</v>
      </c>
      <c r="B1740" s="7" t="str">
        <f>"34542021112317480552414"</f>
        <v>34542021112317480552414</v>
      </c>
      <c r="C1740" s="7" t="s">
        <v>22</v>
      </c>
      <c r="D1740" s="7" t="str">
        <f>"康霞"</f>
        <v>康霞</v>
      </c>
      <c r="E1740" s="7" t="str">
        <f t="shared" si="140"/>
        <v>女</v>
      </c>
      <c r="F1740" s="7"/>
    </row>
    <row r="1741" spans="1:6" ht="30" customHeight="1">
      <c r="A1741" s="7">
        <v>1739</v>
      </c>
      <c r="B1741" s="7" t="str">
        <f>"34542021112318093652420"</f>
        <v>34542021112318093652420</v>
      </c>
      <c r="C1741" s="7" t="s">
        <v>22</v>
      </c>
      <c r="D1741" s="7" t="str">
        <f>"吴翔"</f>
        <v>吴翔</v>
      </c>
      <c r="E1741" s="7" t="str">
        <f t="shared" si="141"/>
        <v>男</v>
      </c>
      <c r="F1741" s="7"/>
    </row>
    <row r="1742" spans="1:6" ht="30" customHeight="1">
      <c r="A1742" s="7">
        <v>1740</v>
      </c>
      <c r="B1742" s="7" t="str">
        <f>"34542021112318363352429"</f>
        <v>34542021112318363352429</v>
      </c>
      <c r="C1742" s="7" t="s">
        <v>22</v>
      </c>
      <c r="D1742" s="7" t="str">
        <f>"王现"</f>
        <v>王现</v>
      </c>
      <c r="E1742" s="7" t="str">
        <f aca="true" t="shared" si="142" ref="E1742:E1748">"女"</f>
        <v>女</v>
      </c>
      <c r="F1742" s="7"/>
    </row>
    <row r="1743" spans="1:6" ht="30" customHeight="1">
      <c r="A1743" s="7">
        <v>1741</v>
      </c>
      <c r="B1743" s="7" t="str">
        <f>"34542021112319274152448"</f>
        <v>34542021112319274152448</v>
      </c>
      <c r="C1743" s="7" t="s">
        <v>22</v>
      </c>
      <c r="D1743" s="7" t="str">
        <f>"李天录"</f>
        <v>李天录</v>
      </c>
      <c r="E1743" s="7" t="str">
        <f t="shared" si="141"/>
        <v>男</v>
      </c>
      <c r="F1743" s="7"/>
    </row>
    <row r="1744" spans="1:6" ht="30" customHeight="1">
      <c r="A1744" s="7">
        <v>1742</v>
      </c>
      <c r="B1744" s="7" t="str">
        <f>"34542021112319542952459"</f>
        <v>34542021112319542952459</v>
      </c>
      <c r="C1744" s="7" t="s">
        <v>22</v>
      </c>
      <c r="D1744" s="7" t="str">
        <f>"李皎余"</f>
        <v>李皎余</v>
      </c>
      <c r="E1744" s="7" t="str">
        <f t="shared" si="142"/>
        <v>女</v>
      </c>
      <c r="F1744" s="7"/>
    </row>
    <row r="1745" spans="1:6" ht="30" customHeight="1">
      <c r="A1745" s="7">
        <v>1743</v>
      </c>
      <c r="B1745" s="7" t="str">
        <f>"34542021112319562752460"</f>
        <v>34542021112319562752460</v>
      </c>
      <c r="C1745" s="7" t="s">
        <v>22</v>
      </c>
      <c r="D1745" s="7" t="str">
        <f>"符正楼"</f>
        <v>符正楼</v>
      </c>
      <c r="E1745" s="7" t="str">
        <f t="shared" si="142"/>
        <v>女</v>
      </c>
      <c r="F1745" s="7"/>
    </row>
    <row r="1746" spans="1:6" ht="30" customHeight="1">
      <c r="A1746" s="7">
        <v>1744</v>
      </c>
      <c r="B1746" s="7" t="str">
        <f>"34542021112320245652469"</f>
        <v>34542021112320245652469</v>
      </c>
      <c r="C1746" s="7" t="s">
        <v>22</v>
      </c>
      <c r="D1746" s="7" t="str">
        <f>"王仁芬"</f>
        <v>王仁芬</v>
      </c>
      <c r="E1746" s="7" t="str">
        <f t="shared" si="142"/>
        <v>女</v>
      </c>
      <c r="F1746" s="7"/>
    </row>
    <row r="1747" spans="1:6" ht="30" customHeight="1">
      <c r="A1747" s="7">
        <v>1745</v>
      </c>
      <c r="B1747" s="7" t="str">
        <f>"34542021112320411752477"</f>
        <v>34542021112320411752477</v>
      </c>
      <c r="C1747" s="7" t="s">
        <v>22</v>
      </c>
      <c r="D1747" s="7" t="str">
        <f>"陈丽翠"</f>
        <v>陈丽翠</v>
      </c>
      <c r="E1747" s="7" t="str">
        <f t="shared" si="142"/>
        <v>女</v>
      </c>
      <c r="F1747" s="7"/>
    </row>
    <row r="1748" spans="1:6" ht="30" customHeight="1">
      <c r="A1748" s="7">
        <v>1746</v>
      </c>
      <c r="B1748" s="7" t="str">
        <f>"34542021112320442852481"</f>
        <v>34542021112320442852481</v>
      </c>
      <c r="C1748" s="7" t="s">
        <v>22</v>
      </c>
      <c r="D1748" s="7" t="str">
        <f>"陈柳蓉"</f>
        <v>陈柳蓉</v>
      </c>
      <c r="E1748" s="7" t="str">
        <f t="shared" si="142"/>
        <v>女</v>
      </c>
      <c r="F1748" s="7"/>
    </row>
    <row r="1749" spans="1:6" ht="30" customHeight="1">
      <c r="A1749" s="7">
        <v>1747</v>
      </c>
      <c r="B1749" s="7" t="str">
        <f>"34542021112320502352483"</f>
        <v>34542021112320502352483</v>
      </c>
      <c r="C1749" s="7" t="s">
        <v>22</v>
      </c>
      <c r="D1749" s="7" t="str">
        <f>"曾繁榜"</f>
        <v>曾繁榜</v>
      </c>
      <c r="E1749" s="7" t="str">
        <f aca="true" t="shared" si="143" ref="E1749:E1754">"男"</f>
        <v>男</v>
      </c>
      <c r="F1749" s="7"/>
    </row>
    <row r="1750" spans="1:6" ht="30" customHeight="1">
      <c r="A1750" s="7">
        <v>1748</v>
      </c>
      <c r="B1750" s="7" t="str">
        <f>"34542021112321065052488"</f>
        <v>34542021112321065052488</v>
      </c>
      <c r="C1750" s="7" t="s">
        <v>22</v>
      </c>
      <c r="D1750" s="7" t="str">
        <f>"羊卓"</f>
        <v>羊卓</v>
      </c>
      <c r="E1750" s="7" t="str">
        <f t="shared" si="143"/>
        <v>男</v>
      </c>
      <c r="F1750" s="7"/>
    </row>
    <row r="1751" spans="1:6" ht="30" customHeight="1">
      <c r="A1751" s="7">
        <v>1749</v>
      </c>
      <c r="B1751" s="7" t="str">
        <f>"34542021112322371052516"</f>
        <v>34542021112322371052516</v>
      </c>
      <c r="C1751" s="7" t="s">
        <v>22</v>
      </c>
      <c r="D1751" s="7" t="str">
        <f>"唐必龙"</f>
        <v>唐必龙</v>
      </c>
      <c r="E1751" s="7" t="str">
        <f t="shared" si="143"/>
        <v>男</v>
      </c>
      <c r="F1751" s="7"/>
    </row>
    <row r="1752" spans="1:6" ht="30" customHeight="1">
      <c r="A1752" s="7">
        <v>1750</v>
      </c>
      <c r="B1752" s="7" t="str">
        <f>"34542021112322394652519"</f>
        <v>34542021112322394652519</v>
      </c>
      <c r="C1752" s="7" t="s">
        <v>22</v>
      </c>
      <c r="D1752" s="7" t="str">
        <f>"谢爵优"</f>
        <v>谢爵优</v>
      </c>
      <c r="E1752" s="7" t="str">
        <f t="shared" si="143"/>
        <v>男</v>
      </c>
      <c r="F1752" s="7"/>
    </row>
    <row r="1753" spans="1:6" ht="30" customHeight="1">
      <c r="A1753" s="7">
        <v>1751</v>
      </c>
      <c r="B1753" s="7" t="str">
        <f>"34542021112322465852521"</f>
        <v>34542021112322465852521</v>
      </c>
      <c r="C1753" s="7" t="s">
        <v>22</v>
      </c>
      <c r="D1753" s="7" t="str">
        <f>"陈日成"</f>
        <v>陈日成</v>
      </c>
      <c r="E1753" s="7" t="str">
        <f t="shared" si="143"/>
        <v>男</v>
      </c>
      <c r="F1753" s="7"/>
    </row>
    <row r="1754" spans="1:6" ht="30" customHeight="1">
      <c r="A1754" s="7">
        <v>1752</v>
      </c>
      <c r="B1754" s="7" t="str">
        <f>"34542021112408585452556"</f>
        <v>34542021112408585452556</v>
      </c>
      <c r="C1754" s="7" t="s">
        <v>22</v>
      </c>
      <c r="D1754" s="7" t="str">
        <f>"黄瑞明"</f>
        <v>黄瑞明</v>
      </c>
      <c r="E1754" s="7" t="str">
        <f t="shared" si="143"/>
        <v>男</v>
      </c>
      <c r="F1754" s="7"/>
    </row>
    <row r="1755" spans="1:6" ht="30" customHeight="1">
      <c r="A1755" s="7">
        <v>1753</v>
      </c>
      <c r="B1755" s="7" t="str">
        <f>"34542021112409053652559"</f>
        <v>34542021112409053652559</v>
      </c>
      <c r="C1755" s="7" t="s">
        <v>22</v>
      </c>
      <c r="D1755" s="7" t="str">
        <f>"符克泥"</f>
        <v>符克泥</v>
      </c>
      <c r="E1755" s="7" t="str">
        <f>"女"</f>
        <v>女</v>
      </c>
      <c r="F1755" s="7"/>
    </row>
    <row r="1756" spans="1:6" ht="30" customHeight="1">
      <c r="A1756" s="7">
        <v>1754</v>
      </c>
      <c r="B1756" s="7" t="str">
        <f>"34542021112409544852571"</f>
        <v>34542021112409544852571</v>
      </c>
      <c r="C1756" s="7" t="s">
        <v>22</v>
      </c>
      <c r="D1756" s="7" t="str">
        <f>"王泽农"</f>
        <v>王泽农</v>
      </c>
      <c r="E1756" s="7" t="str">
        <f aca="true" t="shared" si="144" ref="E1756:E1758">"男"</f>
        <v>男</v>
      </c>
      <c r="F1756" s="7"/>
    </row>
    <row r="1757" spans="1:6" ht="30" customHeight="1">
      <c r="A1757" s="7">
        <v>1755</v>
      </c>
      <c r="B1757" s="7" t="str">
        <f>"34542021112410122552582"</f>
        <v>34542021112410122552582</v>
      </c>
      <c r="C1757" s="7" t="s">
        <v>22</v>
      </c>
      <c r="D1757" s="7" t="str">
        <f>"严家伟"</f>
        <v>严家伟</v>
      </c>
      <c r="E1757" s="7" t="str">
        <f t="shared" si="144"/>
        <v>男</v>
      </c>
      <c r="F1757" s="7"/>
    </row>
    <row r="1758" spans="1:6" ht="30" customHeight="1">
      <c r="A1758" s="7">
        <v>1756</v>
      </c>
      <c r="B1758" s="7" t="str">
        <f>"34542021112410345652593"</f>
        <v>34542021112410345652593</v>
      </c>
      <c r="C1758" s="7" t="s">
        <v>22</v>
      </c>
      <c r="D1758" s="7" t="str">
        <f>"庄永煌"</f>
        <v>庄永煌</v>
      </c>
      <c r="E1758" s="7" t="str">
        <f t="shared" si="144"/>
        <v>男</v>
      </c>
      <c r="F1758" s="7"/>
    </row>
    <row r="1759" spans="1:6" ht="30" customHeight="1">
      <c r="A1759" s="7">
        <v>1757</v>
      </c>
      <c r="B1759" s="7" t="str">
        <f>"34542021112410420752597"</f>
        <v>34542021112410420752597</v>
      </c>
      <c r="C1759" s="7" t="s">
        <v>22</v>
      </c>
      <c r="D1759" s="7" t="str">
        <f>"周伟英"</f>
        <v>周伟英</v>
      </c>
      <c r="E1759" s="7" t="str">
        <f>"女"</f>
        <v>女</v>
      </c>
      <c r="F1759" s="7"/>
    </row>
    <row r="1760" spans="1:6" ht="30" customHeight="1">
      <c r="A1760" s="7">
        <v>1758</v>
      </c>
      <c r="B1760" s="7" t="str">
        <f>"34542021112410593152605"</f>
        <v>34542021112410593152605</v>
      </c>
      <c r="C1760" s="7" t="s">
        <v>22</v>
      </c>
      <c r="D1760" s="7" t="str">
        <f>"杨来浩"</f>
        <v>杨来浩</v>
      </c>
      <c r="E1760" s="7" t="str">
        <f aca="true" t="shared" si="145" ref="E1760:E1766">"男"</f>
        <v>男</v>
      </c>
      <c r="F1760" s="7"/>
    </row>
    <row r="1761" spans="1:6" ht="30" customHeight="1">
      <c r="A1761" s="7">
        <v>1759</v>
      </c>
      <c r="B1761" s="7" t="str">
        <f>"34542021112413035052643"</f>
        <v>34542021112413035052643</v>
      </c>
      <c r="C1761" s="7" t="s">
        <v>22</v>
      </c>
      <c r="D1761" s="7" t="str">
        <f>"阮业锦"</f>
        <v>阮业锦</v>
      </c>
      <c r="E1761" s="7" t="str">
        <f t="shared" si="145"/>
        <v>男</v>
      </c>
      <c r="F1761" s="7"/>
    </row>
    <row r="1762" spans="1:6" ht="30" customHeight="1">
      <c r="A1762" s="7">
        <v>1760</v>
      </c>
      <c r="B1762" s="7" t="str">
        <f>"34542021112414110452652"</f>
        <v>34542021112414110452652</v>
      </c>
      <c r="C1762" s="7" t="s">
        <v>22</v>
      </c>
      <c r="D1762" s="7" t="str">
        <f>"谢君敏"</f>
        <v>谢君敏</v>
      </c>
      <c r="E1762" s="7" t="str">
        <f t="shared" si="145"/>
        <v>男</v>
      </c>
      <c r="F1762" s="7"/>
    </row>
    <row r="1763" spans="1:6" ht="30" customHeight="1">
      <c r="A1763" s="7">
        <v>1761</v>
      </c>
      <c r="B1763" s="7" t="str">
        <f>"34542021112415134852665"</f>
        <v>34542021112415134852665</v>
      </c>
      <c r="C1763" s="7" t="s">
        <v>22</v>
      </c>
      <c r="D1763" s="7" t="str">
        <f>"羊露"</f>
        <v>羊露</v>
      </c>
      <c r="E1763" s="7" t="str">
        <f t="shared" si="145"/>
        <v>男</v>
      </c>
      <c r="F1763" s="7"/>
    </row>
    <row r="1764" spans="1:6" ht="30" customHeight="1">
      <c r="A1764" s="7">
        <v>1762</v>
      </c>
      <c r="B1764" s="7" t="str">
        <f>"34542021112418321152724"</f>
        <v>34542021112418321152724</v>
      </c>
      <c r="C1764" s="7" t="s">
        <v>22</v>
      </c>
      <c r="D1764" s="7" t="str">
        <f>"王劲杨"</f>
        <v>王劲杨</v>
      </c>
      <c r="E1764" s="7" t="str">
        <f t="shared" si="145"/>
        <v>男</v>
      </c>
      <c r="F1764" s="7"/>
    </row>
    <row r="1765" spans="1:6" ht="30" customHeight="1">
      <c r="A1765" s="7">
        <v>1763</v>
      </c>
      <c r="B1765" s="7" t="str">
        <f>"34542021112418513452734"</f>
        <v>34542021112418513452734</v>
      </c>
      <c r="C1765" s="7" t="s">
        <v>22</v>
      </c>
      <c r="D1765" s="7" t="str">
        <f>"谢爵蔚"</f>
        <v>谢爵蔚</v>
      </c>
      <c r="E1765" s="7" t="str">
        <f t="shared" si="145"/>
        <v>男</v>
      </c>
      <c r="F1765" s="7"/>
    </row>
    <row r="1766" spans="1:6" ht="30" customHeight="1">
      <c r="A1766" s="7">
        <v>1764</v>
      </c>
      <c r="B1766" s="7" t="str">
        <f>"34542021112419341652750"</f>
        <v>34542021112419341652750</v>
      </c>
      <c r="C1766" s="7" t="s">
        <v>22</v>
      </c>
      <c r="D1766" s="7" t="str">
        <f>"黄昌海"</f>
        <v>黄昌海</v>
      </c>
      <c r="E1766" s="7" t="str">
        <f t="shared" si="145"/>
        <v>男</v>
      </c>
      <c r="F1766" s="7"/>
    </row>
    <row r="1767" spans="1:6" ht="30" customHeight="1">
      <c r="A1767" s="7">
        <v>1765</v>
      </c>
      <c r="B1767" s="7" t="str">
        <f>"34542021112420211552771"</f>
        <v>34542021112420211552771</v>
      </c>
      <c r="C1767" s="7" t="s">
        <v>22</v>
      </c>
      <c r="D1767" s="7" t="str">
        <f>"赵寒"</f>
        <v>赵寒</v>
      </c>
      <c r="E1767" s="7" t="str">
        <f aca="true" t="shared" si="146" ref="E1767:E1772">"女"</f>
        <v>女</v>
      </c>
      <c r="F1767" s="7"/>
    </row>
    <row r="1768" spans="1:6" ht="30" customHeight="1">
      <c r="A1768" s="7">
        <v>1766</v>
      </c>
      <c r="B1768" s="7" t="str">
        <f>"34542021112421380252796"</f>
        <v>34542021112421380252796</v>
      </c>
      <c r="C1768" s="7" t="s">
        <v>22</v>
      </c>
      <c r="D1768" s="7" t="str">
        <f>"陈芸"</f>
        <v>陈芸</v>
      </c>
      <c r="E1768" s="7" t="str">
        <f t="shared" si="146"/>
        <v>女</v>
      </c>
      <c r="F1768" s="7"/>
    </row>
    <row r="1769" spans="1:6" ht="30" customHeight="1">
      <c r="A1769" s="7">
        <v>1767</v>
      </c>
      <c r="B1769" s="7" t="str">
        <f>"34542021112421533752804"</f>
        <v>34542021112421533752804</v>
      </c>
      <c r="C1769" s="7" t="s">
        <v>22</v>
      </c>
      <c r="D1769" s="7" t="str">
        <f>"林敏"</f>
        <v>林敏</v>
      </c>
      <c r="E1769" s="7" t="str">
        <f aca="true" t="shared" si="147" ref="E1769:E1771">"男"</f>
        <v>男</v>
      </c>
      <c r="F1769" s="7"/>
    </row>
    <row r="1770" spans="1:6" ht="30" customHeight="1">
      <c r="A1770" s="7">
        <v>1768</v>
      </c>
      <c r="B1770" s="7" t="str">
        <f>"34542021112422154452816"</f>
        <v>34542021112422154452816</v>
      </c>
      <c r="C1770" s="7" t="s">
        <v>22</v>
      </c>
      <c r="D1770" s="7" t="str">
        <f>"丁德康"</f>
        <v>丁德康</v>
      </c>
      <c r="E1770" s="7" t="str">
        <f t="shared" si="147"/>
        <v>男</v>
      </c>
      <c r="F1770" s="7"/>
    </row>
    <row r="1771" spans="1:6" ht="30" customHeight="1">
      <c r="A1771" s="7">
        <v>1769</v>
      </c>
      <c r="B1771" s="7" t="str">
        <f>"34542021112422405052824"</f>
        <v>34542021112422405052824</v>
      </c>
      <c r="C1771" s="7" t="s">
        <v>22</v>
      </c>
      <c r="D1771" s="7" t="str">
        <f>"梁振储"</f>
        <v>梁振储</v>
      </c>
      <c r="E1771" s="7" t="str">
        <f t="shared" si="147"/>
        <v>男</v>
      </c>
      <c r="F1771" s="7"/>
    </row>
    <row r="1772" spans="1:6" ht="30" customHeight="1">
      <c r="A1772" s="7">
        <v>1770</v>
      </c>
      <c r="B1772" s="7" t="str">
        <f>"34542021112423361152846"</f>
        <v>34542021112423361152846</v>
      </c>
      <c r="C1772" s="7" t="s">
        <v>22</v>
      </c>
      <c r="D1772" s="7" t="str">
        <f>"李育娟"</f>
        <v>李育娟</v>
      </c>
      <c r="E1772" s="7" t="str">
        <f t="shared" si="146"/>
        <v>女</v>
      </c>
      <c r="F1772" s="7"/>
    </row>
    <row r="1773" spans="1:6" ht="30" customHeight="1">
      <c r="A1773" s="7">
        <v>1771</v>
      </c>
      <c r="B1773" s="7" t="str">
        <f>"34542021112500391652857"</f>
        <v>34542021112500391652857</v>
      </c>
      <c r="C1773" s="7" t="s">
        <v>22</v>
      </c>
      <c r="D1773" s="7" t="str">
        <f>"王世锦"</f>
        <v>王世锦</v>
      </c>
      <c r="E1773" s="7" t="str">
        <f aca="true" t="shared" si="148" ref="E1773:E1780">"男"</f>
        <v>男</v>
      </c>
      <c r="F1773" s="7"/>
    </row>
    <row r="1774" spans="1:6" ht="30" customHeight="1">
      <c r="A1774" s="7">
        <v>1772</v>
      </c>
      <c r="B1774" s="7" t="str">
        <f>"34542021112502384152862"</f>
        <v>34542021112502384152862</v>
      </c>
      <c r="C1774" s="7" t="s">
        <v>22</v>
      </c>
      <c r="D1774" s="7" t="str">
        <f>"陈颖颖"</f>
        <v>陈颖颖</v>
      </c>
      <c r="E1774" s="7" t="str">
        <f>"女"</f>
        <v>女</v>
      </c>
      <c r="F1774" s="7"/>
    </row>
    <row r="1775" spans="1:6" ht="30" customHeight="1">
      <c r="A1775" s="7">
        <v>1773</v>
      </c>
      <c r="B1775" s="7" t="str">
        <f>"34542021112507254952867"</f>
        <v>34542021112507254952867</v>
      </c>
      <c r="C1775" s="7" t="s">
        <v>22</v>
      </c>
      <c r="D1775" s="7" t="str">
        <f>"林树肃"</f>
        <v>林树肃</v>
      </c>
      <c r="E1775" s="7" t="str">
        <f t="shared" si="148"/>
        <v>男</v>
      </c>
      <c r="F1775" s="7"/>
    </row>
    <row r="1776" spans="1:6" ht="30" customHeight="1">
      <c r="A1776" s="7">
        <v>1774</v>
      </c>
      <c r="B1776" s="7" t="str">
        <f>"34542021112508153952871"</f>
        <v>34542021112508153952871</v>
      </c>
      <c r="C1776" s="7" t="s">
        <v>22</v>
      </c>
      <c r="D1776" s="7" t="str">
        <f>"江成"</f>
        <v>江成</v>
      </c>
      <c r="E1776" s="7" t="str">
        <f t="shared" si="148"/>
        <v>男</v>
      </c>
      <c r="F1776" s="7"/>
    </row>
    <row r="1777" spans="1:6" ht="30" customHeight="1">
      <c r="A1777" s="7">
        <v>1775</v>
      </c>
      <c r="B1777" s="7" t="str">
        <f>"34542021112508481152880"</f>
        <v>34542021112508481152880</v>
      </c>
      <c r="C1777" s="7" t="s">
        <v>22</v>
      </c>
      <c r="D1777" s="7" t="str">
        <f>"许启琼"</f>
        <v>许启琼</v>
      </c>
      <c r="E1777" s="7" t="str">
        <f t="shared" si="148"/>
        <v>男</v>
      </c>
      <c r="F1777" s="7"/>
    </row>
    <row r="1778" spans="1:6" ht="30" customHeight="1">
      <c r="A1778" s="7">
        <v>1776</v>
      </c>
      <c r="B1778" s="7" t="str">
        <f>"34542021112508533652882"</f>
        <v>34542021112508533652882</v>
      </c>
      <c r="C1778" s="7" t="s">
        <v>22</v>
      </c>
      <c r="D1778" s="7" t="str">
        <f>"王善益"</f>
        <v>王善益</v>
      </c>
      <c r="E1778" s="7" t="str">
        <f t="shared" si="148"/>
        <v>男</v>
      </c>
      <c r="F1778" s="7"/>
    </row>
    <row r="1779" spans="1:6" ht="30" customHeight="1">
      <c r="A1779" s="7">
        <v>1777</v>
      </c>
      <c r="B1779" s="7" t="str">
        <f>"34542021112510095952912"</f>
        <v>34542021112510095952912</v>
      </c>
      <c r="C1779" s="7" t="s">
        <v>22</v>
      </c>
      <c r="D1779" s="7" t="str">
        <f>"王国才"</f>
        <v>王国才</v>
      </c>
      <c r="E1779" s="7" t="str">
        <f t="shared" si="148"/>
        <v>男</v>
      </c>
      <c r="F1779" s="7"/>
    </row>
    <row r="1780" spans="1:6" ht="30" customHeight="1">
      <c r="A1780" s="7">
        <v>1778</v>
      </c>
      <c r="B1780" s="7" t="str">
        <f>"34542021112511322552947"</f>
        <v>34542021112511322552947</v>
      </c>
      <c r="C1780" s="7" t="s">
        <v>22</v>
      </c>
      <c r="D1780" s="7" t="str">
        <f>"符传明"</f>
        <v>符传明</v>
      </c>
      <c r="E1780" s="7" t="str">
        <f t="shared" si="148"/>
        <v>男</v>
      </c>
      <c r="F1780" s="7"/>
    </row>
    <row r="1781" spans="1:6" ht="30" customHeight="1">
      <c r="A1781" s="7">
        <v>1779</v>
      </c>
      <c r="B1781" s="7" t="str">
        <f>"34542021111909050850419"</f>
        <v>34542021111909050850419</v>
      </c>
      <c r="C1781" s="7" t="s">
        <v>23</v>
      </c>
      <c r="D1781" s="7" t="str">
        <f>"楼顺英"</f>
        <v>楼顺英</v>
      </c>
      <c r="E1781" s="7" t="str">
        <f aca="true" t="shared" si="149" ref="E1781:E1785">"女"</f>
        <v>女</v>
      </c>
      <c r="F1781" s="7"/>
    </row>
    <row r="1782" spans="1:6" ht="30" customHeight="1">
      <c r="A1782" s="7">
        <v>1780</v>
      </c>
      <c r="B1782" s="7" t="str">
        <f>"34542021111909063550421"</f>
        <v>34542021111909063550421</v>
      </c>
      <c r="C1782" s="7" t="s">
        <v>23</v>
      </c>
      <c r="D1782" s="7" t="str">
        <f>"吴萍"</f>
        <v>吴萍</v>
      </c>
      <c r="E1782" s="7" t="str">
        <f t="shared" si="149"/>
        <v>女</v>
      </c>
      <c r="F1782" s="7"/>
    </row>
    <row r="1783" spans="1:6" ht="30" customHeight="1">
      <c r="A1783" s="7">
        <v>1781</v>
      </c>
      <c r="B1783" s="7" t="str">
        <f>"34542021111909071150422"</f>
        <v>34542021111909071150422</v>
      </c>
      <c r="C1783" s="7" t="s">
        <v>23</v>
      </c>
      <c r="D1783" s="7" t="str">
        <f>"符敏颖"</f>
        <v>符敏颖</v>
      </c>
      <c r="E1783" s="7" t="str">
        <f t="shared" si="149"/>
        <v>女</v>
      </c>
      <c r="F1783" s="7"/>
    </row>
    <row r="1784" spans="1:6" ht="30" customHeight="1">
      <c r="A1784" s="7">
        <v>1782</v>
      </c>
      <c r="B1784" s="7" t="str">
        <f>"34542021111909130450436"</f>
        <v>34542021111909130450436</v>
      </c>
      <c r="C1784" s="7" t="s">
        <v>23</v>
      </c>
      <c r="D1784" s="7" t="str">
        <f>"郑月萍"</f>
        <v>郑月萍</v>
      </c>
      <c r="E1784" s="7" t="str">
        <f t="shared" si="149"/>
        <v>女</v>
      </c>
      <c r="F1784" s="7"/>
    </row>
    <row r="1785" spans="1:6" ht="30" customHeight="1">
      <c r="A1785" s="7">
        <v>1783</v>
      </c>
      <c r="B1785" s="7" t="str">
        <f>"34542021111909135550438"</f>
        <v>34542021111909135550438</v>
      </c>
      <c r="C1785" s="7" t="s">
        <v>23</v>
      </c>
      <c r="D1785" s="7" t="str">
        <f>"李香侬"</f>
        <v>李香侬</v>
      </c>
      <c r="E1785" s="7" t="str">
        <f t="shared" si="149"/>
        <v>女</v>
      </c>
      <c r="F1785" s="7"/>
    </row>
    <row r="1786" spans="1:6" ht="30" customHeight="1">
      <c r="A1786" s="7">
        <v>1784</v>
      </c>
      <c r="B1786" s="7" t="str">
        <f>"34542021111909344550475"</f>
        <v>34542021111909344550475</v>
      </c>
      <c r="C1786" s="7" t="s">
        <v>23</v>
      </c>
      <c r="D1786" s="7" t="str">
        <f>"李根"</f>
        <v>李根</v>
      </c>
      <c r="E1786" s="7" t="str">
        <f>"男"</f>
        <v>男</v>
      </c>
      <c r="F1786" s="7"/>
    </row>
    <row r="1787" spans="1:6" ht="30" customHeight="1">
      <c r="A1787" s="7">
        <v>1785</v>
      </c>
      <c r="B1787" s="7" t="str">
        <f>"34542021111909351150477"</f>
        <v>34542021111909351150477</v>
      </c>
      <c r="C1787" s="7" t="s">
        <v>23</v>
      </c>
      <c r="D1787" s="7" t="str">
        <f>"薛姑女"</f>
        <v>薛姑女</v>
      </c>
      <c r="E1787" s="7" t="str">
        <f aca="true" t="shared" si="150" ref="E1787:E1838">"女"</f>
        <v>女</v>
      </c>
      <c r="F1787" s="7"/>
    </row>
    <row r="1788" spans="1:6" ht="30" customHeight="1">
      <c r="A1788" s="7">
        <v>1786</v>
      </c>
      <c r="B1788" s="7" t="str">
        <f>"34542021111909415350485"</f>
        <v>34542021111909415350485</v>
      </c>
      <c r="C1788" s="7" t="s">
        <v>23</v>
      </c>
      <c r="D1788" s="7" t="str">
        <f>"陈焕窕"</f>
        <v>陈焕窕</v>
      </c>
      <c r="E1788" s="7" t="str">
        <f t="shared" si="150"/>
        <v>女</v>
      </c>
      <c r="F1788" s="7"/>
    </row>
    <row r="1789" spans="1:6" ht="30" customHeight="1">
      <c r="A1789" s="7">
        <v>1787</v>
      </c>
      <c r="B1789" s="7" t="str">
        <f>"34542021111909422450486"</f>
        <v>34542021111909422450486</v>
      </c>
      <c r="C1789" s="7" t="s">
        <v>23</v>
      </c>
      <c r="D1789" s="7" t="str">
        <f>"符剑"</f>
        <v>符剑</v>
      </c>
      <c r="E1789" s="7" t="str">
        <f>"男"</f>
        <v>男</v>
      </c>
      <c r="F1789" s="7"/>
    </row>
    <row r="1790" spans="1:6" ht="30" customHeight="1">
      <c r="A1790" s="7">
        <v>1788</v>
      </c>
      <c r="B1790" s="7" t="str">
        <f>"34542021111909511250500"</f>
        <v>34542021111909511250500</v>
      </c>
      <c r="C1790" s="7" t="s">
        <v>23</v>
      </c>
      <c r="D1790" s="7" t="str">
        <f>"李叶统"</f>
        <v>李叶统</v>
      </c>
      <c r="E1790" s="7" t="str">
        <f t="shared" si="150"/>
        <v>女</v>
      </c>
      <c r="F1790" s="7"/>
    </row>
    <row r="1791" spans="1:6" ht="30" customHeight="1">
      <c r="A1791" s="7">
        <v>1789</v>
      </c>
      <c r="B1791" s="7" t="str">
        <f>"34542021111909560850506"</f>
        <v>34542021111909560850506</v>
      </c>
      <c r="C1791" s="7" t="s">
        <v>23</v>
      </c>
      <c r="D1791" s="7" t="str">
        <f>"王春文"</f>
        <v>王春文</v>
      </c>
      <c r="E1791" s="7" t="str">
        <f t="shared" si="150"/>
        <v>女</v>
      </c>
      <c r="F1791" s="7"/>
    </row>
    <row r="1792" spans="1:6" ht="30" customHeight="1">
      <c r="A1792" s="7">
        <v>1790</v>
      </c>
      <c r="B1792" s="7" t="str">
        <f>"34542021111909592950512"</f>
        <v>34542021111909592950512</v>
      </c>
      <c r="C1792" s="7" t="s">
        <v>23</v>
      </c>
      <c r="D1792" s="7" t="str">
        <f>"吴小箐"</f>
        <v>吴小箐</v>
      </c>
      <c r="E1792" s="7" t="str">
        <f t="shared" si="150"/>
        <v>女</v>
      </c>
      <c r="F1792" s="7"/>
    </row>
    <row r="1793" spans="1:6" ht="30" customHeight="1">
      <c r="A1793" s="7">
        <v>1791</v>
      </c>
      <c r="B1793" s="7" t="str">
        <f>"34542021111910065250523"</f>
        <v>34542021111910065250523</v>
      </c>
      <c r="C1793" s="7" t="s">
        <v>23</v>
      </c>
      <c r="D1793" s="7" t="str">
        <f>"周秋颖"</f>
        <v>周秋颖</v>
      </c>
      <c r="E1793" s="7" t="str">
        <f t="shared" si="150"/>
        <v>女</v>
      </c>
      <c r="F1793" s="7"/>
    </row>
    <row r="1794" spans="1:6" ht="30" customHeight="1">
      <c r="A1794" s="7">
        <v>1792</v>
      </c>
      <c r="B1794" s="7" t="str">
        <f>"34542021111910385550576"</f>
        <v>34542021111910385550576</v>
      </c>
      <c r="C1794" s="7" t="s">
        <v>23</v>
      </c>
      <c r="D1794" s="7" t="str">
        <f>"李明莉"</f>
        <v>李明莉</v>
      </c>
      <c r="E1794" s="7" t="str">
        <f t="shared" si="150"/>
        <v>女</v>
      </c>
      <c r="F1794" s="7"/>
    </row>
    <row r="1795" spans="1:6" ht="30" customHeight="1">
      <c r="A1795" s="7">
        <v>1793</v>
      </c>
      <c r="B1795" s="7" t="str">
        <f>"34542021111910415250585"</f>
        <v>34542021111910415250585</v>
      </c>
      <c r="C1795" s="7" t="s">
        <v>23</v>
      </c>
      <c r="D1795" s="7" t="str">
        <f>"吴尾女"</f>
        <v>吴尾女</v>
      </c>
      <c r="E1795" s="7" t="str">
        <f t="shared" si="150"/>
        <v>女</v>
      </c>
      <c r="F1795" s="7"/>
    </row>
    <row r="1796" spans="1:6" ht="30" customHeight="1">
      <c r="A1796" s="7">
        <v>1794</v>
      </c>
      <c r="B1796" s="7" t="str">
        <f>"34542021111910502750594"</f>
        <v>34542021111910502750594</v>
      </c>
      <c r="C1796" s="7" t="s">
        <v>23</v>
      </c>
      <c r="D1796" s="7" t="str">
        <f>"陈美爱"</f>
        <v>陈美爱</v>
      </c>
      <c r="E1796" s="7" t="str">
        <f t="shared" si="150"/>
        <v>女</v>
      </c>
      <c r="F1796" s="7"/>
    </row>
    <row r="1797" spans="1:6" ht="30" customHeight="1">
      <c r="A1797" s="7">
        <v>1795</v>
      </c>
      <c r="B1797" s="7" t="str">
        <f>"34542021111910573050603"</f>
        <v>34542021111910573050603</v>
      </c>
      <c r="C1797" s="7" t="s">
        <v>23</v>
      </c>
      <c r="D1797" s="7" t="str">
        <f>"符梅彩"</f>
        <v>符梅彩</v>
      </c>
      <c r="E1797" s="7" t="str">
        <f t="shared" si="150"/>
        <v>女</v>
      </c>
      <c r="F1797" s="7"/>
    </row>
    <row r="1798" spans="1:6" ht="30" customHeight="1">
      <c r="A1798" s="7">
        <v>1796</v>
      </c>
      <c r="B1798" s="7" t="str">
        <f>"34542021111911131750625"</f>
        <v>34542021111911131750625</v>
      </c>
      <c r="C1798" s="7" t="s">
        <v>23</v>
      </c>
      <c r="D1798" s="7" t="str">
        <f>"吴二皎"</f>
        <v>吴二皎</v>
      </c>
      <c r="E1798" s="7" t="str">
        <f t="shared" si="150"/>
        <v>女</v>
      </c>
      <c r="F1798" s="7"/>
    </row>
    <row r="1799" spans="1:6" ht="30" customHeight="1">
      <c r="A1799" s="7">
        <v>1797</v>
      </c>
      <c r="B1799" s="7" t="str">
        <f>"34542021111911184050632"</f>
        <v>34542021111911184050632</v>
      </c>
      <c r="C1799" s="7" t="s">
        <v>23</v>
      </c>
      <c r="D1799" s="7" t="str">
        <f>"林克丽"</f>
        <v>林克丽</v>
      </c>
      <c r="E1799" s="7" t="str">
        <f t="shared" si="150"/>
        <v>女</v>
      </c>
      <c r="F1799" s="7"/>
    </row>
    <row r="1800" spans="1:6" ht="30" customHeight="1">
      <c r="A1800" s="7">
        <v>1798</v>
      </c>
      <c r="B1800" s="7" t="str">
        <f>"34542021111911190550633"</f>
        <v>34542021111911190550633</v>
      </c>
      <c r="C1800" s="7" t="s">
        <v>23</v>
      </c>
      <c r="D1800" s="7" t="str">
        <f>"羊翠桃"</f>
        <v>羊翠桃</v>
      </c>
      <c r="E1800" s="7" t="str">
        <f t="shared" si="150"/>
        <v>女</v>
      </c>
      <c r="F1800" s="7"/>
    </row>
    <row r="1801" spans="1:6" ht="30" customHeight="1">
      <c r="A1801" s="7">
        <v>1799</v>
      </c>
      <c r="B1801" s="7" t="str">
        <f>"34542021111911284550646"</f>
        <v>34542021111911284550646</v>
      </c>
      <c r="C1801" s="7" t="s">
        <v>23</v>
      </c>
      <c r="D1801" s="7" t="str">
        <f>"苏开川"</f>
        <v>苏开川</v>
      </c>
      <c r="E1801" s="7" t="str">
        <f t="shared" si="150"/>
        <v>女</v>
      </c>
      <c r="F1801" s="7"/>
    </row>
    <row r="1802" spans="1:6" ht="30" customHeight="1">
      <c r="A1802" s="7">
        <v>1800</v>
      </c>
      <c r="B1802" s="7" t="str">
        <f>"34542021111911315250651"</f>
        <v>34542021111911315250651</v>
      </c>
      <c r="C1802" s="7" t="s">
        <v>23</v>
      </c>
      <c r="D1802" s="7" t="str">
        <f>"徐魁兰"</f>
        <v>徐魁兰</v>
      </c>
      <c r="E1802" s="7" t="str">
        <f t="shared" si="150"/>
        <v>女</v>
      </c>
      <c r="F1802" s="7"/>
    </row>
    <row r="1803" spans="1:6" ht="30" customHeight="1">
      <c r="A1803" s="7">
        <v>1801</v>
      </c>
      <c r="B1803" s="7" t="str">
        <f>"34542021111911323350653"</f>
        <v>34542021111911323350653</v>
      </c>
      <c r="C1803" s="7" t="s">
        <v>23</v>
      </c>
      <c r="D1803" s="7" t="str">
        <f>"羊春月"</f>
        <v>羊春月</v>
      </c>
      <c r="E1803" s="7" t="str">
        <f t="shared" si="150"/>
        <v>女</v>
      </c>
      <c r="F1803" s="7"/>
    </row>
    <row r="1804" spans="1:6" ht="30" customHeight="1">
      <c r="A1804" s="7">
        <v>1802</v>
      </c>
      <c r="B1804" s="7" t="str">
        <f>"34542021111911340350655"</f>
        <v>34542021111911340350655</v>
      </c>
      <c r="C1804" s="7" t="s">
        <v>23</v>
      </c>
      <c r="D1804" s="7" t="str">
        <f>"林秀果"</f>
        <v>林秀果</v>
      </c>
      <c r="E1804" s="7" t="str">
        <f t="shared" si="150"/>
        <v>女</v>
      </c>
      <c r="F1804" s="7"/>
    </row>
    <row r="1805" spans="1:6" ht="30" customHeight="1">
      <c r="A1805" s="7">
        <v>1803</v>
      </c>
      <c r="B1805" s="7" t="str">
        <f>"34542021111911543850679"</f>
        <v>34542021111911543850679</v>
      </c>
      <c r="C1805" s="7" t="s">
        <v>23</v>
      </c>
      <c r="D1805" s="7" t="str">
        <f>"刘桃桂"</f>
        <v>刘桃桂</v>
      </c>
      <c r="E1805" s="7" t="str">
        <f t="shared" si="150"/>
        <v>女</v>
      </c>
      <c r="F1805" s="7"/>
    </row>
    <row r="1806" spans="1:6" ht="30" customHeight="1">
      <c r="A1806" s="7">
        <v>1804</v>
      </c>
      <c r="B1806" s="7" t="str">
        <f>"34542021111912493850726"</f>
        <v>34542021111912493850726</v>
      </c>
      <c r="C1806" s="7" t="s">
        <v>23</v>
      </c>
      <c r="D1806" s="7" t="str">
        <f>"罗月爱"</f>
        <v>罗月爱</v>
      </c>
      <c r="E1806" s="7" t="str">
        <f t="shared" si="150"/>
        <v>女</v>
      </c>
      <c r="F1806" s="7"/>
    </row>
    <row r="1807" spans="1:6" ht="30" customHeight="1">
      <c r="A1807" s="7">
        <v>1805</v>
      </c>
      <c r="B1807" s="7" t="str">
        <f>"34542021111913092750737"</f>
        <v>34542021111913092750737</v>
      </c>
      <c r="C1807" s="7" t="s">
        <v>23</v>
      </c>
      <c r="D1807" s="7" t="str">
        <f>"邓文妹"</f>
        <v>邓文妹</v>
      </c>
      <c r="E1807" s="7" t="str">
        <f t="shared" si="150"/>
        <v>女</v>
      </c>
      <c r="F1807" s="7"/>
    </row>
    <row r="1808" spans="1:6" ht="30" customHeight="1">
      <c r="A1808" s="7">
        <v>1806</v>
      </c>
      <c r="B1808" s="7" t="str">
        <f>"34542021111913130750741"</f>
        <v>34542021111913130750741</v>
      </c>
      <c r="C1808" s="7" t="s">
        <v>23</v>
      </c>
      <c r="D1808" s="7" t="str">
        <f>"牛永彩"</f>
        <v>牛永彩</v>
      </c>
      <c r="E1808" s="7" t="str">
        <f t="shared" si="150"/>
        <v>女</v>
      </c>
      <c r="F1808" s="7"/>
    </row>
    <row r="1809" spans="1:6" ht="30" customHeight="1">
      <c r="A1809" s="7">
        <v>1807</v>
      </c>
      <c r="B1809" s="7" t="str">
        <f>"34542021111913150050743"</f>
        <v>34542021111913150050743</v>
      </c>
      <c r="C1809" s="7" t="s">
        <v>23</v>
      </c>
      <c r="D1809" s="7" t="str">
        <f>"吴伟雅"</f>
        <v>吴伟雅</v>
      </c>
      <c r="E1809" s="7" t="str">
        <f t="shared" si="150"/>
        <v>女</v>
      </c>
      <c r="F1809" s="7"/>
    </row>
    <row r="1810" spans="1:6" ht="30" customHeight="1">
      <c r="A1810" s="7">
        <v>1808</v>
      </c>
      <c r="B1810" s="7" t="str">
        <f>"34542021111913161150745"</f>
        <v>34542021111913161150745</v>
      </c>
      <c r="C1810" s="7" t="s">
        <v>23</v>
      </c>
      <c r="D1810" s="7" t="str">
        <f>"郭金月"</f>
        <v>郭金月</v>
      </c>
      <c r="E1810" s="7" t="str">
        <f t="shared" si="150"/>
        <v>女</v>
      </c>
      <c r="F1810" s="7"/>
    </row>
    <row r="1811" spans="1:6" ht="30" customHeight="1">
      <c r="A1811" s="7">
        <v>1809</v>
      </c>
      <c r="B1811" s="7" t="str">
        <f>"34542021111913175350746"</f>
        <v>34542021111913175350746</v>
      </c>
      <c r="C1811" s="7" t="s">
        <v>23</v>
      </c>
      <c r="D1811" s="7" t="str">
        <f>"陈慧莲"</f>
        <v>陈慧莲</v>
      </c>
      <c r="E1811" s="7" t="str">
        <f t="shared" si="150"/>
        <v>女</v>
      </c>
      <c r="F1811" s="7"/>
    </row>
    <row r="1812" spans="1:6" ht="30" customHeight="1">
      <c r="A1812" s="7">
        <v>1810</v>
      </c>
      <c r="B1812" s="7" t="str">
        <f>"34542021111914390850808"</f>
        <v>34542021111914390850808</v>
      </c>
      <c r="C1812" s="7" t="s">
        <v>23</v>
      </c>
      <c r="D1812" s="7" t="str">
        <f>"钟庆玫"</f>
        <v>钟庆玫</v>
      </c>
      <c r="E1812" s="7" t="str">
        <f t="shared" si="150"/>
        <v>女</v>
      </c>
      <c r="F1812" s="7"/>
    </row>
    <row r="1813" spans="1:6" ht="30" customHeight="1">
      <c r="A1813" s="7">
        <v>1811</v>
      </c>
      <c r="B1813" s="7" t="str">
        <f>"34542021111914475350814"</f>
        <v>34542021111914475350814</v>
      </c>
      <c r="C1813" s="7" t="s">
        <v>23</v>
      </c>
      <c r="D1813" s="7" t="str">
        <f>"李克媛"</f>
        <v>李克媛</v>
      </c>
      <c r="E1813" s="7" t="str">
        <f t="shared" si="150"/>
        <v>女</v>
      </c>
      <c r="F1813" s="7"/>
    </row>
    <row r="1814" spans="1:6" ht="30" customHeight="1">
      <c r="A1814" s="7">
        <v>1812</v>
      </c>
      <c r="B1814" s="7" t="str">
        <f>"34542021111914482350815"</f>
        <v>34542021111914482350815</v>
      </c>
      <c r="C1814" s="7" t="s">
        <v>23</v>
      </c>
      <c r="D1814" s="7" t="str">
        <f>"吴彩孟"</f>
        <v>吴彩孟</v>
      </c>
      <c r="E1814" s="7" t="str">
        <f t="shared" si="150"/>
        <v>女</v>
      </c>
      <c r="F1814" s="7"/>
    </row>
    <row r="1815" spans="1:6" ht="30" customHeight="1">
      <c r="A1815" s="7">
        <v>1813</v>
      </c>
      <c r="B1815" s="7" t="str">
        <f>"34542021111916171550915"</f>
        <v>34542021111916171550915</v>
      </c>
      <c r="C1815" s="7" t="s">
        <v>23</v>
      </c>
      <c r="D1815" s="7" t="str">
        <f>"李启萍"</f>
        <v>李启萍</v>
      </c>
      <c r="E1815" s="7" t="str">
        <f t="shared" si="150"/>
        <v>女</v>
      </c>
      <c r="F1815" s="7"/>
    </row>
    <row r="1816" spans="1:6" ht="30" customHeight="1">
      <c r="A1816" s="7">
        <v>1814</v>
      </c>
      <c r="B1816" s="7" t="str">
        <f>"34542021111916503050948"</f>
        <v>34542021111916503050948</v>
      </c>
      <c r="C1816" s="7" t="s">
        <v>23</v>
      </c>
      <c r="D1816" s="7" t="str">
        <f>"朱姜萱"</f>
        <v>朱姜萱</v>
      </c>
      <c r="E1816" s="7" t="str">
        <f t="shared" si="150"/>
        <v>女</v>
      </c>
      <c r="F1816" s="7"/>
    </row>
    <row r="1817" spans="1:6" ht="30" customHeight="1">
      <c r="A1817" s="7">
        <v>1815</v>
      </c>
      <c r="B1817" s="7" t="str">
        <f>"34542021111918491350995"</f>
        <v>34542021111918491350995</v>
      </c>
      <c r="C1817" s="7" t="s">
        <v>23</v>
      </c>
      <c r="D1817" s="7" t="str">
        <f>"唐衍芳"</f>
        <v>唐衍芳</v>
      </c>
      <c r="E1817" s="7" t="str">
        <f t="shared" si="150"/>
        <v>女</v>
      </c>
      <c r="F1817" s="7"/>
    </row>
    <row r="1818" spans="1:6" ht="30" customHeight="1">
      <c r="A1818" s="7">
        <v>1816</v>
      </c>
      <c r="B1818" s="7" t="str">
        <f>"34542021111919060851004"</f>
        <v>34542021111919060851004</v>
      </c>
      <c r="C1818" s="7" t="s">
        <v>23</v>
      </c>
      <c r="D1818" s="7" t="str">
        <f>"羊妹女"</f>
        <v>羊妹女</v>
      </c>
      <c r="E1818" s="7" t="str">
        <f t="shared" si="150"/>
        <v>女</v>
      </c>
      <c r="F1818" s="7"/>
    </row>
    <row r="1819" spans="1:6" ht="30" customHeight="1">
      <c r="A1819" s="7">
        <v>1817</v>
      </c>
      <c r="B1819" s="7" t="str">
        <f>"34542021111919582851033"</f>
        <v>34542021111919582851033</v>
      </c>
      <c r="C1819" s="7" t="s">
        <v>23</v>
      </c>
      <c r="D1819" s="7" t="str">
        <f>"张国珠"</f>
        <v>张国珠</v>
      </c>
      <c r="E1819" s="7" t="str">
        <f t="shared" si="150"/>
        <v>女</v>
      </c>
      <c r="F1819" s="7"/>
    </row>
    <row r="1820" spans="1:6" ht="30" customHeight="1">
      <c r="A1820" s="7">
        <v>1818</v>
      </c>
      <c r="B1820" s="7" t="str">
        <f>"34542021111921190251079"</f>
        <v>34542021111921190251079</v>
      </c>
      <c r="C1820" s="7" t="s">
        <v>23</v>
      </c>
      <c r="D1820" s="7" t="str">
        <f>"黎晓风"</f>
        <v>黎晓风</v>
      </c>
      <c r="E1820" s="7" t="str">
        <f t="shared" si="150"/>
        <v>女</v>
      </c>
      <c r="F1820" s="7"/>
    </row>
    <row r="1821" spans="1:6" ht="30" customHeight="1">
      <c r="A1821" s="7">
        <v>1819</v>
      </c>
      <c r="B1821" s="7" t="str">
        <f>"34542021111922062151100"</f>
        <v>34542021111922062151100</v>
      </c>
      <c r="C1821" s="7" t="s">
        <v>23</v>
      </c>
      <c r="D1821" s="7" t="str">
        <f>"李春菊"</f>
        <v>李春菊</v>
      </c>
      <c r="E1821" s="7" t="str">
        <f t="shared" si="150"/>
        <v>女</v>
      </c>
      <c r="F1821" s="7"/>
    </row>
    <row r="1822" spans="1:6" ht="30" customHeight="1">
      <c r="A1822" s="7">
        <v>1820</v>
      </c>
      <c r="B1822" s="7" t="str">
        <f>"34542021112010051951178"</f>
        <v>34542021112010051951178</v>
      </c>
      <c r="C1822" s="7" t="s">
        <v>23</v>
      </c>
      <c r="D1822" s="7" t="str">
        <f>"陈媚女"</f>
        <v>陈媚女</v>
      </c>
      <c r="E1822" s="7" t="str">
        <f t="shared" si="150"/>
        <v>女</v>
      </c>
      <c r="F1822" s="7"/>
    </row>
    <row r="1823" spans="1:6" ht="30" customHeight="1">
      <c r="A1823" s="7">
        <v>1821</v>
      </c>
      <c r="B1823" s="7" t="str">
        <f>"34542021112010070251180"</f>
        <v>34542021112010070251180</v>
      </c>
      <c r="C1823" s="7" t="s">
        <v>23</v>
      </c>
      <c r="D1823" s="7" t="str">
        <f>"李中花"</f>
        <v>李中花</v>
      </c>
      <c r="E1823" s="7" t="str">
        <f t="shared" si="150"/>
        <v>女</v>
      </c>
      <c r="F1823" s="7"/>
    </row>
    <row r="1824" spans="1:6" ht="30" customHeight="1">
      <c r="A1824" s="7">
        <v>1822</v>
      </c>
      <c r="B1824" s="7" t="str">
        <f>"34542021112010551851206"</f>
        <v>34542021112010551851206</v>
      </c>
      <c r="C1824" s="7" t="s">
        <v>23</v>
      </c>
      <c r="D1824" s="7" t="str">
        <f>"李宽女"</f>
        <v>李宽女</v>
      </c>
      <c r="E1824" s="7" t="str">
        <f t="shared" si="150"/>
        <v>女</v>
      </c>
      <c r="F1824" s="7"/>
    </row>
    <row r="1825" spans="1:6" ht="30" customHeight="1">
      <c r="A1825" s="7">
        <v>1823</v>
      </c>
      <c r="B1825" s="7" t="str">
        <f>"34542021112012495351254"</f>
        <v>34542021112012495351254</v>
      </c>
      <c r="C1825" s="7" t="s">
        <v>23</v>
      </c>
      <c r="D1825" s="7" t="str">
        <f>"许伯香"</f>
        <v>许伯香</v>
      </c>
      <c r="E1825" s="7" t="str">
        <f t="shared" si="150"/>
        <v>女</v>
      </c>
      <c r="F1825" s="7"/>
    </row>
    <row r="1826" spans="1:6" ht="30" customHeight="1">
      <c r="A1826" s="7">
        <v>1824</v>
      </c>
      <c r="B1826" s="7" t="str">
        <f>"34542021112012501951255"</f>
        <v>34542021112012501951255</v>
      </c>
      <c r="C1826" s="7" t="s">
        <v>23</v>
      </c>
      <c r="D1826" s="7" t="str">
        <f>"王娟"</f>
        <v>王娟</v>
      </c>
      <c r="E1826" s="7" t="str">
        <f t="shared" si="150"/>
        <v>女</v>
      </c>
      <c r="F1826" s="7"/>
    </row>
    <row r="1827" spans="1:6" ht="30" customHeight="1">
      <c r="A1827" s="7">
        <v>1825</v>
      </c>
      <c r="B1827" s="7" t="str">
        <f>"34542021112015484251305"</f>
        <v>34542021112015484251305</v>
      </c>
      <c r="C1827" s="7" t="s">
        <v>23</v>
      </c>
      <c r="D1827" s="7" t="str">
        <f>"何芳"</f>
        <v>何芳</v>
      </c>
      <c r="E1827" s="7" t="str">
        <f t="shared" si="150"/>
        <v>女</v>
      </c>
      <c r="F1827" s="7"/>
    </row>
    <row r="1828" spans="1:6" ht="30" customHeight="1">
      <c r="A1828" s="7">
        <v>1826</v>
      </c>
      <c r="B1828" s="7" t="str">
        <f>"34542021112016260151315"</f>
        <v>34542021112016260151315</v>
      </c>
      <c r="C1828" s="7" t="s">
        <v>23</v>
      </c>
      <c r="D1828" s="7" t="str">
        <f>"朱静桃"</f>
        <v>朱静桃</v>
      </c>
      <c r="E1828" s="7" t="str">
        <f t="shared" si="150"/>
        <v>女</v>
      </c>
      <c r="F1828" s="7"/>
    </row>
    <row r="1829" spans="1:6" ht="30" customHeight="1">
      <c r="A1829" s="7">
        <v>1827</v>
      </c>
      <c r="B1829" s="7" t="str">
        <f>"34542021112016264551316"</f>
        <v>34542021112016264551316</v>
      </c>
      <c r="C1829" s="7" t="s">
        <v>23</v>
      </c>
      <c r="D1829" s="7" t="str">
        <f>"陈园"</f>
        <v>陈园</v>
      </c>
      <c r="E1829" s="7" t="str">
        <f t="shared" si="150"/>
        <v>女</v>
      </c>
      <c r="F1829" s="7"/>
    </row>
    <row r="1830" spans="1:6" ht="30" customHeight="1">
      <c r="A1830" s="7">
        <v>1828</v>
      </c>
      <c r="B1830" s="7" t="str">
        <f>"34542021112017344651340"</f>
        <v>34542021112017344651340</v>
      </c>
      <c r="C1830" s="7" t="s">
        <v>23</v>
      </c>
      <c r="D1830" s="7" t="str">
        <f>"余善妹"</f>
        <v>余善妹</v>
      </c>
      <c r="E1830" s="7" t="str">
        <f t="shared" si="150"/>
        <v>女</v>
      </c>
      <c r="F1830" s="7"/>
    </row>
    <row r="1831" spans="1:6" ht="30" customHeight="1">
      <c r="A1831" s="7">
        <v>1829</v>
      </c>
      <c r="B1831" s="7" t="str">
        <f>"34542021112018550651366"</f>
        <v>34542021112018550651366</v>
      </c>
      <c r="C1831" s="7" t="s">
        <v>23</v>
      </c>
      <c r="D1831" s="7" t="str">
        <f>"吴月秋 "</f>
        <v>吴月秋 </v>
      </c>
      <c r="E1831" s="7" t="str">
        <f t="shared" si="150"/>
        <v>女</v>
      </c>
      <c r="F1831" s="7"/>
    </row>
    <row r="1832" spans="1:6" ht="30" customHeight="1">
      <c r="A1832" s="7">
        <v>1830</v>
      </c>
      <c r="B1832" s="7" t="str">
        <f>"34542021112020034751382"</f>
        <v>34542021112020034751382</v>
      </c>
      <c r="C1832" s="7" t="s">
        <v>23</v>
      </c>
      <c r="D1832" s="7" t="str">
        <f>"孙燕娜"</f>
        <v>孙燕娜</v>
      </c>
      <c r="E1832" s="7" t="str">
        <f t="shared" si="150"/>
        <v>女</v>
      </c>
      <c r="F1832" s="7"/>
    </row>
    <row r="1833" spans="1:6" ht="30" customHeight="1">
      <c r="A1833" s="7">
        <v>1831</v>
      </c>
      <c r="B1833" s="7" t="str">
        <f>"34542021112020221851386"</f>
        <v>34542021112020221851386</v>
      </c>
      <c r="C1833" s="7" t="s">
        <v>23</v>
      </c>
      <c r="D1833" s="7" t="str">
        <f>"沈芝彩"</f>
        <v>沈芝彩</v>
      </c>
      <c r="E1833" s="7" t="str">
        <f t="shared" si="150"/>
        <v>女</v>
      </c>
      <c r="F1833" s="7"/>
    </row>
    <row r="1834" spans="1:6" ht="30" customHeight="1">
      <c r="A1834" s="7">
        <v>1832</v>
      </c>
      <c r="B1834" s="7" t="str">
        <f>"34542021112021055351407"</f>
        <v>34542021112021055351407</v>
      </c>
      <c r="C1834" s="7" t="s">
        <v>23</v>
      </c>
      <c r="D1834" s="7" t="str">
        <f>"曾翠榕"</f>
        <v>曾翠榕</v>
      </c>
      <c r="E1834" s="7" t="str">
        <f t="shared" si="150"/>
        <v>女</v>
      </c>
      <c r="F1834" s="7"/>
    </row>
    <row r="1835" spans="1:6" ht="30" customHeight="1">
      <c r="A1835" s="7">
        <v>1833</v>
      </c>
      <c r="B1835" s="7" t="str">
        <f>"34542021112021473351421"</f>
        <v>34542021112021473351421</v>
      </c>
      <c r="C1835" s="7" t="s">
        <v>23</v>
      </c>
      <c r="D1835" s="7" t="str">
        <f>"陈永妍"</f>
        <v>陈永妍</v>
      </c>
      <c r="E1835" s="7" t="str">
        <f t="shared" si="150"/>
        <v>女</v>
      </c>
      <c r="F1835" s="7"/>
    </row>
    <row r="1836" spans="1:6" ht="30" customHeight="1">
      <c r="A1836" s="7">
        <v>1834</v>
      </c>
      <c r="B1836" s="7" t="str">
        <f>"34542021112022532151441"</f>
        <v>34542021112022532151441</v>
      </c>
      <c r="C1836" s="7" t="s">
        <v>23</v>
      </c>
      <c r="D1836" s="7" t="str">
        <f>"王杏兰"</f>
        <v>王杏兰</v>
      </c>
      <c r="E1836" s="7" t="str">
        <f t="shared" si="150"/>
        <v>女</v>
      </c>
      <c r="F1836" s="7"/>
    </row>
    <row r="1837" spans="1:6" ht="30" customHeight="1">
      <c r="A1837" s="7">
        <v>1835</v>
      </c>
      <c r="B1837" s="7" t="str">
        <f>"34542021112023065451445"</f>
        <v>34542021112023065451445</v>
      </c>
      <c r="C1837" s="7" t="s">
        <v>23</v>
      </c>
      <c r="D1837" s="7" t="str">
        <f>"张帝妹"</f>
        <v>张帝妹</v>
      </c>
      <c r="E1837" s="7" t="str">
        <f t="shared" si="150"/>
        <v>女</v>
      </c>
      <c r="F1837" s="7"/>
    </row>
    <row r="1838" spans="1:6" ht="30" customHeight="1">
      <c r="A1838" s="7">
        <v>1836</v>
      </c>
      <c r="B1838" s="7" t="str">
        <f>"34542021112101223151454"</f>
        <v>34542021112101223151454</v>
      </c>
      <c r="C1838" s="7" t="s">
        <v>23</v>
      </c>
      <c r="D1838" s="7" t="str">
        <f>"严虹"</f>
        <v>严虹</v>
      </c>
      <c r="E1838" s="7" t="str">
        <f t="shared" si="150"/>
        <v>女</v>
      </c>
      <c r="F1838" s="7"/>
    </row>
    <row r="1839" spans="1:6" ht="30" customHeight="1">
      <c r="A1839" s="7">
        <v>1837</v>
      </c>
      <c r="B1839" s="7" t="str">
        <f>"34542021112110182951490"</f>
        <v>34542021112110182951490</v>
      </c>
      <c r="C1839" s="7" t="s">
        <v>23</v>
      </c>
      <c r="D1839" s="7" t="str">
        <f>"丁衍旺"</f>
        <v>丁衍旺</v>
      </c>
      <c r="E1839" s="7" t="str">
        <f aca="true" t="shared" si="151" ref="E1839:E1842">"男"</f>
        <v>男</v>
      </c>
      <c r="F1839" s="7"/>
    </row>
    <row r="1840" spans="1:6" ht="30" customHeight="1">
      <c r="A1840" s="7">
        <v>1838</v>
      </c>
      <c r="B1840" s="7" t="str">
        <f>"34542021112111125251508"</f>
        <v>34542021112111125251508</v>
      </c>
      <c r="C1840" s="7" t="s">
        <v>23</v>
      </c>
      <c r="D1840" s="7" t="str">
        <f>"蔡辉敏"</f>
        <v>蔡辉敏</v>
      </c>
      <c r="E1840" s="7" t="str">
        <f t="shared" si="151"/>
        <v>男</v>
      </c>
      <c r="F1840" s="7"/>
    </row>
    <row r="1841" spans="1:6" ht="30" customHeight="1">
      <c r="A1841" s="7">
        <v>1839</v>
      </c>
      <c r="B1841" s="7" t="str">
        <f>"34542021112111203051509"</f>
        <v>34542021112111203051509</v>
      </c>
      <c r="C1841" s="7" t="s">
        <v>23</v>
      </c>
      <c r="D1841" s="7" t="str">
        <f>"林秋香"</f>
        <v>林秋香</v>
      </c>
      <c r="E1841" s="7" t="str">
        <f aca="true" t="shared" si="152" ref="E1841:E1849">"女"</f>
        <v>女</v>
      </c>
      <c r="F1841" s="7"/>
    </row>
    <row r="1842" spans="1:6" ht="30" customHeight="1">
      <c r="A1842" s="7">
        <v>1840</v>
      </c>
      <c r="B1842" s="7" t="str">
        <f>"34542021112111345851514"</f>
        <v>34542021112111345851514</v>
      </c>
      <c r="C1842" s="7" t="s">
        <v>23</v>
      </c>
      <c r="D1842" s="7" t="str">
        <f>"赵冠科"</f>
        <v>赵冠科</v>
      </c>
      <c r="E1842" s="7" t="str">
        <f t="shared" si="151"/>
        <v>男</v>
      </c>
      <c r="F1842" s="7"/>
    </row>
    <row r="1843" spans="1:6" ht="30" customHeight="1">
      <c r="A1843" s="7">
        <v>1841</v>
      </c>
      <c r="B1843" s="7" t="str">
        <f>"34542021112111580951520"</f>
        <v>34542021112111580951520</v>
      </c>
      <c r="C1843" s="7" t="s">
        <v>23</v>
      </c>
      <c r="D1843" s="7" t="str">
        <f>"方东梅"</f>
        <v>方东梅</v>
      </c>
      <c r="E1843" s="7" t="str">
        <f t="shared" si="152"/>
        <v>女</v>
      </c>
      <c r="F1843" s="7"/>
    </row>
    <row r="1844" spans="1:6" ht="30" customHeight="1">
      <c r="A1844" s="7">
        <v>1842</v>
      </c>
      <c r="B1844" s="7" t="str">
        <f>"34542021112113002951546"</f>
        <v>34542021112113002951546</v>
      </c>
      <c r="C1844" s="7" t="s">
        <v>23</v>
      </c>
      <c r="D1844" s="7" t="str">
        <f>"苏基华"</f>
        <v>苏基华</v>
      </c>
      <c r="E1844" s="7" t="str">
        <f>"男"</f>
        <v>男</v>
      </c>
      <c r="F1844" s="7"/>
    </row>
    <row r="1845" spans="1:6" ht="30" customHeight="1">
      <c r="A1845" s="7">
        <v>1843</v>
      </c>
      <c r="B1845" s="7" t="str">
        <f>"34542021112115055451575"</f>
        <v>34542021112115055451575</v>
      </c>
      <c r="C1845" s="7" t="s">
        <v>23</v>
      </c>
      <c r="D1845" s="7" t="str">
        <f>"万桂丽"</f>
        <v>万桂丽</v>
      </c>
      <c r="E1845" s="7" t="str">
        <f t="shared" si="152"/>
        <v>女</v>
      </c>
      <c r="F1845" s="7"/>
    </row>
    <row r="1846" spans="1:6" ht="30" customHeight="1">
      <c r="A1846" s="7">
        <v>1844</v>
      </c>
      <c r="B1846" s="7" t="str">
        <f>"34542021112115173151580"</f>
        <v>34542021112115173151580</v>
      </c>
      <c r="C1846" s="7" t="s">
        <v>23</v>
      </c>
      <c r="D1846" s="7" t="str">
        <f>"林妃"</f>
        <v>林妃</v>
      </c>
      <c r="E1846" s="7" t="str">
        <f t="shared" si="152"/>
        <v>女</v>
      </c>
      <c r="F1846" s="7"/>
    </row>
    <row r="1847" spans="1:6" ht="30" customHeight="1">
      <c r="A1847" s="7">
        <v>1845</v>
      </c>
      <c r="B1847" s="7" t="str">
        <f>"34542021112115425051587"</f>
        <v>34542021112115425051587</v>
      </c>
      <c r="C1847" s="7" t="s">
        <v>23</v>
      </c>
      <c r="D1847" s="7" t="str">
        <f>"符金有"</f>
        <v>符金有</v>
      </c>
      <c r="E1847" s="7" t="str">
        <f t="shared" si="152"/>
        <v>女</v>
      </c>
      <c r="F1847" s="7"/>
    </row>
    <row r="1848" spans="1:6" ht="30" customHeight="1">
      <c r="A1848" s="7">
        <v>1846</v>
      </c>
      <c r="B1848" s="7" t="str">
        <f>"34542021112116565551612"</f>
        <v>34542021112116565551612</v>
      </c>
      <c r="C1848" s="7" t="s">
        <v>23</v>
      </c>
      <c r="D1848" s="7" t="str">
        <f>"李水莲"</f>
        <v>李水莲</v>
      </c>
      <c r="E1848" s="7" t="str">
        <f t="shared" si="152"/>
        <v>女</v>
      </c>
      <c r="F1848" s="7"/>
    </row>
    <row r="1849" spans="1:6" ht="30" customHeight="1">
      <c r="A1849" s="7">
        <v>1847</v>
      </c>
      <c r="B1849" s="7" t="str">
        <f>"34542021112117213651620"</f>
        <v>34542021112117213651620</v>
      </c>
      <c r="C1849" s="7" t="s">
        <v>23</v>
      </c>
      <c r="D1849" s="7" t="str">
        <f>"林璟"</f>
        <v>林璟</v>
      </c>
      <c r="E1849" s="7" t="str">
        <f t="shared" si="152"/>
        <v>女</v>
      </c>
      <c r="F1849" s="7"/>
    </row>
    <row r="1850" spans="1:6" ht="30" customHeight="1">
      <c r="A1850" s="7">
        <v>1848</v>
      </c>
      <c r="B1850" s="7" t="str">
        <f>"34542021112117584451633"</f>
        <v>34542021112117584451633</v>
      </c>
      <c r="C1850" s="7" t="s">
        <v>23</v>
      </c>
      <c r="D1850" s="7" t="str">
        <f>"黄良博"</f>
        <v>黄良博</v>
      </c>
      <c r="E1850" s="7" t="str">
        <f>"男"</f>
        <v>男</v>
      </c>
      <c r="F1850" s="7"/>
    </row>
    <row r="1851" spans="1:6" ht="30" customHeight="1">
      <c r="A1851" s="7">
        <v>1849</v>
      </c>
      <c r="B1851" s="7" t="str">
        <f>"34542021112118035551635"</f>
        <v>34542021112118035551635</v>
      </c>
      <c r="C1851" s="7" t="s">
        <v>23</v>
      </c>
      <c r="D1851" s="7" t="str">
        <f>"王石宽"</f>
        <v>王石宽</v>
      </c>
      <c r="E1851" s="7" t="str">
        <f aca="true" t="shared" si="153" ref="E1851:E1853">"女"</f>
        <v>女</v>
      </c>
      <c r="F1851" s="7"/>
    </row>
    <row r="1852" spans="1:6" ht="30" customHeight="1">
      <c r="A1852" s="7">
        <v>1850</v>
      </c>
      <c r="B1852" s="7" t="str">
        <f>"34542021112120044951667"</f>
        <v>34542021112120044951667</v>
      </c>
      <c r="C1852" s="7" t="s">
        <v>23</v>
      </c>
      <c r="D1852" s="7" t="str">
        <f>"李立莉"</f>
        <v>李立莉</v>
      </c>
      <c r="E1852" s="7" t="str">
        <f t="shared" si="153"/>
        <v>女</v>
      </c>
      <c r="F1852" s="7"/>
    </row>
    <row r="1853" spans="1:6" ht="30" customHeight="1">
      <c r="A1853" s="7">
        <v>1851</v>
      </c>
      <c r="B1853" s="7" t="str">
        <f>"34542021112120465251678"</f>
        <v>34542021112120465251678</v>
      </c>
      <c r="C1853" s="7" t="s">
        <v>23</v>
      </c>
      <c r="D1853" s="7" t="str">
        <f>"李秋英"</f>
        <v>李秋英</v>
      </c>
      <c r="E1853" s="7" t="str">
        <f t="shared" si="153"/>
        <v>女</v>
      </c>
      <c r="F1853" s="7"/>
    </row>
    <row r="1854" spans="1:6" ht="30" customHeight="1">
      <c r="A1854" s="7">
        <v>1852</v>
      </c>
      <c r="B1854" s="7" t="str">
        <f>"34542021112121291151693"</f>
        <v>34542021112121291151693</v>
      </c>
      <c r="C1854" s="7" t="s">
        <v>23</v>
      </c>
      <c r="D1854" s="7" t="str">
        <f>"王道发"</f>
        <v>王道发</v>
      </c>
      <c r="E1854" s="7" t="str">
        <f>"男"</f>
        <v>男</v>
      </c>
      <c r="F1854" s="7"/>
    </row>
    <row r="1855" spans="1:6" ht="30" customHeight="1">
      <c r="A1855" s="7">
        <v>1853</v>
      </c>
      <c r="B1855" s="7" t="str">
        <f>"34542021112209153451770"</f>
        <v>34542021112209153451770</v>
      </c>
      <c r="C1855" s="7" t="s">
        <v>23</v>
      </c>
      <c r="D1855" s="7" t="str">
        <f>"孙贞梅"</f>
        <v>孙贞梅</v>
      </c>
      <c r="E1855" s="7" t="str">
        <f aca="true" t="shared" si="154" ref="E1855:E1859">"女"</f>
        <v>女</v>
      </c>
      <c r="F1855" s="7"/>
    </row>
    <row r="1856" spans="1:6" ht="30" customHeight="1">
      <c r="A1856" s="7">
        <v>1854</v>
      </c>
      <c r="B1856" s="7" t="str">
        <f>"34542021112211215551866"</f>
        <v>34542021112211215551866</v>
      </c>
      <c r="C1856" s="7" t="s">
        <v>23</v>
      </c>
      <c r="D1856" s="7" t="str">
        <f>"朱多逢"</f>
        <v>朱多逢</v>
      </c>
      <c r="E1856" s="7" t="str">
        <f t="shared" si="154"/>
        <v>女</v>
      </c>
      <c r="F1856" s="7"/>
    </row>
    <row r="1857" spans="1:6" ht="30" customHeight="1">
      <c r="A1857" s="7">
        <v>1855</v>
      </c>
      <c r="B1857" s="7" t="str">
        <f>"34542021112212171951898"</f>
        <v>34542021112212171951898</v>
      </c>
      <c r="C1857" s="7" t="s">
        <v>23</v>
      </c>
      <c r="D1857" s="7" t="str">
        <f>"李若剑"</f>
        <v>李若剑</v>
      </c>
      <c r="E1857" s="7" t="str">
        <f>"男"</f>
        <v>男</v>
      </c>
      <c r="F1857" s="7"/>
    </row>
    <row r="1858" spans="1:6" ht="30" customHeight="1">
      <c r="A1858" s="7">
        <v>1856</v>
      </c>
      <c r="B1858" s="7" t="str">
        <f>"34542021112212351251903"</f>
        <v>34542021112212351251903</v>
      </c>
      <c r="C1858" s="7" t="s">
        <v>23</v>
      </c>
      <c r="D1858" s="7" t="str">
        <f>"陈丽"</f>
        <v>陈丽</v>
      </c>
      <c r="E1858" s="7" t="str">
        <f t="shared" si="154"/>
        <v>女</v>
      </c>
      <c r="F1858" s="7"/>
    </row>
    <row r="1859" spans="1:6" ht="30" customHeight="1">
      <c r="A1859" s="7">
        <v>1857</v>
      </c>
      <c r="B1859" s="7" t="str">
        <f>"34542021112214215651934"</f>
        <v>34542021112214215651934</v>
      </c>
      <c r="C1859" s="7" t="s">
        <v>23</v>
      </c>
      <c r="D1859" s="7" t="str">
        <f>"陈丹丹"</f>
        <v>陈丹丹</v>
      </c>
      <c r="E1859" s="7" t="str">
        <f t="shared" si="154"/>
        <v>女</v>
      </c>
      <c r="F1859" s="7"/>
    </row>
    <row r="1860" spans="1:6" ht="30" customHeight="1">
      <c r="A1860" s="7">
        <v>1858</v>
      </c>
      <c r="B1860" s="7" t="str">
        <f>"34542021112214360551938"</f>
        <v>34542021112214360551938</v>
      </c>
      <c r="C1860" s="7" t="s">
        <v>23</v>
      </c>
      <c r="D1860" s="7" t="str">
        <f>"符以明"</f>
        <v>符以明</v>
      </c>
      <c r="E1860" s="7" t="str">
        <f>"男"</f>
        <v>男</v>
      </c>
      <c r="F1860" s="7"/>
    </row>
    <row r="1861" spans="1:6" ht="30" customHeight="1">
      <c r="A1861" s="7">
        <v>1859</v>
      </c>
      <c r="B1861" s="7" t="str">
        <f>"34542021112215564351989"</f>
        <v>34542021112215564351989</v>
      </c>
      <c r="C1861" s="7" t="s">
        <v>23</v>
      </c>
      <c r="D1861" s="7" t="str">
        <f>"吴美瑛"</f>
        <v>吴美瑛</v>
      </c>
      <c r="E1861" s="7" t="str">
        <f aca="true" t="shared" si="155" ref="E1861:E1868">"女"</f>
        <v>女</v>
      </c>
      <c r="F1861" s="7"/>
    </row>
    <row r="1862" spans="1:6" ht="30" customHeight="1">
      <c r="A1862" s="7">
        <v>1860</v>
      </c>
      <c r="B1862" s="7" t="str">
        <f>"34542021112216004151991"</f>
        <v>34542021112216004151991</v>
      </c>
      <c r="C1862" s="7" t="s">
        <v>23</v>
      </c>
      <c r="D1862" s="7" t="str">
        <f>"李有菊"</f>
        <v>李有菊</v>
      </c>
      <c r="E1862" s="7" t="str">
        <f t="shared" si="155"/>
        <v>女</v>
      </c>
      <c r="F1862" s="7"/>
    </row>
    <row r="1863" spans="1:6" ht="30" customHeight="1">
      <c r="A1863" s="7">
        <v>1861</v>
      </c>
      <c r="B1863" s="7" t="str">
        <f>"34542021112216252352011"</f>
        <v>34542021112216252352011</v>
      </c>
      <c r="C1863" s="7" t="s">
        <v>23</v>
      </c>
      <c r="D1863" s="7" t="str">
        <f>"吴多雄"</f>
        <v>吴多雄</v>
      </c>
      <c r="E1863" s="7" t="str">
        <f>"男"</f>
        <v>男</v>
      </c>
      <c r="F1863" s="7"/>
    </row>
    <row r="1864" spans="1:6" ht="30" customHeight="1">
      <c r="A1864" s="7">
        <v>1862</v>
      </c>
      <c r="B1864" s="7" t="str">
        <f>"34542021112216484952023"</f>
        <v>34542021112216484952023</v>
      </c>
      <c r="C1864" s="7" t="s">
        <v>23</v>
      </c>
      <c r="D1864" s="7" t="str">
        <f>"唐喜英"</f>
        <v>唐喜英</v>
      </c>
      <c r="E1864" s="7" t="str">
        <f t="shared" si="155"/>
        <v>女</v>
      </c>
      <c r="F1864" s="7"/>
    </row>
    <row r="1865" spans="1:6" ht="30" customHeight="1">
      <c r="A1865" s="7">
        <v>1863</v>
      </c>
      <c r="B1865" s="7" t="str">
        <f>"34542021112217190452038"</f>
        <v>34542021112217190452038</v>
      </c>
      <c r="C1865" s="7" t="s">
        <v>23</v>
      </c>
      <c r="D1865" s="7" t="str">
        <f>"唐彩华"</f>
        <v>唐彩华</v>
      </c>
      <c r="E1865" s="7" t="str">
        <f t="shared" si="155"/>
        <v>女</v>
      </c>
      <c r="F1865" s="7"/>
    </row>
    <row r="1866" spans="1:6" ht="30" customHeight="1">
      <c r="A1866" s="7">
        <v>1864</v>
      </c>
      <c r="B1866" s="7" t="str">
        <f>"34542021112218192952065"</f>
        <v>34542021112218192952065</v>
      </c>
      <c r="C1866" s="7" t="s">
        <v>23</v>
      </c>
      <c r="D1866" s="7" t="str">
        <f>"许秀妹"</f>
        <v>许秀妹</v>
      </c>
      <c r="E1866" s="7" t="str">
        <f t="shared" si="155"/>
        <v>女</v>
      </c>
      <c r="F1866" s="7"/>
    </row>
    <row r="1867" spans="1:6" ht="30" customHeight="1">
      <c r="A1867" s="7">
        <v>1865</v>
      </c>
      <c r="B1867" s="7" t="str">
        <f>"34542021112219064752081"</f>
        <v>34542021112219064752081</v>
      </c>
      <c r="C1867" s="7" t="s">
        <v>23</v>
      </c>
      <c r="D1867" s="7" t="str">
        <f>"陈乾爱"</f>
        <v>陈乾爱</v>
      </c>
      <c r="E1867" s="7" t="str">
        <f t="shared" si="155"/>
        <v>女</v>
      </c>
      <c r="F1867" s="7"/>
    </row>
    <row r="1868" spans="1:6" ht="30" customHeight="1">
      <c r="A1868" s="7">
        <v>1866</v>
      </c>
      <c r="B1868" s="7" t="str">
        <f>"34542021112219514152097"</f>
        <v>34542021112219514152097</v>
      </c>
      <c r="C1868" s="7" t="s">
        <v>23</v>
      </c>
      <c r="D1868" s="7" t="str">
        <f>"曾光玲"</f>
        <v>曾光玲</v>
      </c>
      <c r="E1868" s="7" t="str">
        <f t="shared" si="155"/>
        <v>女</v>
      </c>
      <c r="F1868" s="7"/>
    </row>
    <row r="1869" spans="1:6" ht="30" customHeight="1">
      <c r="A1869" s="7">
        <v>1867</v>
      </c>
      <c r="B1869" s="7" t="str">
        <f>"34542021112220595052120"</f>
        <v>34542021112220595052120</v>
      </c>
      <c r="C1869" s="7" t="s">
        <v>23</v>
      </c>
      <c r="D1869" s="7" t="str">
        <f>"余耀廷"</f>
        <v>余耀廷</v>
      </c>
      <c r="E1869" s="7" t="str">
        <f>"男"</f>
        <v>男</v>
      </c>
      <c r="F1869" s="7"/>
    </row>
    <row r="1870" spans="1:6" ht="30" customHeight="1">
      <c r="A1870" s="7">
        <v>1868</v>
      </c>
      <c r="B1870" s="7" t="str">
        <f>"34542021112309355452215"</f>
        <v>34542021112309355452215</v>
      </c>
      <c r="C1870" s="7" t="s">
        <v>23</v>
      </c>
      <c r="D1870" s="7" t="str">
        <f>"林少玲"</f>
        <v>林少玲</v>
      </c>
      <c r="E1870" s="7" t="str">
        <f aca="true" t="shared" si="156" ref="E1870:E1876">"女"</f>
        <v>女</v>
      </c>
      <c r="F1870" s="7"/>
    </row>
    <row r="1871" spans="1:6" ht="30" customHeight="1">
      <c r="A1871" s="7">
        <v>1869</v>
      </c>
      <c r="B1871" s="7" t="str">
        <f>"34542021112312333552289"</f>
        <v>34542021112312333552289</v>
      </c>
      <c r="C1871" s="7" t="s">
        <v>23</v>
      </c>
      <c r="D1871" s="7" t="str">
        <f>"何世姣"</f>
        <v>何世姣</v>
      </c>
      <c r="E1871" s="7" t="str">
        <f t="shared" si="156"/>
        <v>女</v>
      </c>
      <c r="F1871" s="7"/>
    </row>
    <row r="1872" spans="1:6" ht="30" customHeight="1">
      <c r="A1872" s="7">
        <v>1870</v>
      </c>
      <c r="B1872" s="7" t="str">
        <f>"34542021112313024252300"</f>
        <v>34542021112313024252300</v>
      </c>
      <c r="C1872" s="7" t="s">
        <v>23</v>
      </c>
      <c r="D1872" s="7" t="str">
        <f>"陈光彩"</f>
        <v>陈光彩</v>
      </c>
      <c r="E1872" s="7" t="str">
        <f t="shared" si="156"/>
        <v>女</v>
      </c>
      <c r="F1872" s="7"/>
    </row>
    <row r="1873" spans="1:6" ht="30" customHeight="1">
      <c r="A1873" s="7">
        <v>1871</v>
      </c>
      <c r="B1873" s="7" t="str">
        <f>"34542021112314442952326"</f>
        <v>34542021112314442952326</v>
      </c>
      <c r="C1873" s="7" t="s">
        <v>23</v>
      </c>
      <c r="D1873" s="7" t="str">
        <f>"董儒霞"</f>
        <v>董儒霞</v>
      </c>
      <c r="E1873" s="7" t="str">
        <f t="shared" si="156"/>
        <v>女</v>
      </c>
      <c r="F1873" s="7"/>
    </row>
    <row r="1874" spans="1:6" ht="30" customHeight="1">
      <c r="A1874" s="7">
        <v>1872</v>
      </c>
      <c r="B1874" s="7" t="str">
        <f>"34542021112315045852333"</f>
        <v>34542021112315045852333</v>
      </c>
      <c r="C1874" s="7" t="s">
        <v>23</v>
      </c>
      <c r="D1874" s="7" t="str">
        <f>"黄建城"</f>
        <v>黄建城</v>
      </c>
      <c r="E1874" s="7" t="str">
        <f t="shared" si="156"/>
        <v>女</v>
      </c>
      <c r="F1874" s="7"/>
    </row>
    <row r="1875" spans="1:6" ht="30" customHeight="1">
      <c r="A1875" s="7">
        <v>1873</v>
      </c>
      <c r="B1875" s="7" t="str">
        <f>"34542021112315232852342"</f>
        <v>34542021112315232852342</v>
      </c>
      <c r="C1875" s="7" t="s">
        <v>23</v>
      </c>
      <c r="D1875" s="7" t="str">
        <f>"羊春彩"</f>
        <v>羊春彩</v>
      </c>
      <c r="E1875" s="7" t="str">
        <f t="shared" si="156"/>
        <v>女</v>
      </c>
      <c r="F1875" s="7"/>
    </row>
    <row r="1876" spans="1:6" ht="30" customHeight="1">
      <c r="A1876" s="7">
        <v>1874</v>
      </c>
      <c r="B1876" s="7" t="str">
        <f>"34542021112315245952344"</f>
        <v>34542021112315245952344</v>
      </c>
      <c r="C1876" s="7" t="s">
        <v>23</v>
      </c>
      <c r="D1876" s="7" t="str">
        <f>"符雪柳"</f>
        <v>符雪柳</v>
      </c>
      <c r="E1876" s="7" t="str">
        <f t="shared" si="156"/>
        <v>女</v>
      </c>
      <c r="F1876" s="7"/>
    </row>
    <row r="1877" spans="1:6" ht="30" customHeight="1">
      <c r="A1877" s="7">
        <v>1875</v>
      </c>
      <c r="B1877" s="7" t="str">
        <f>"34542021112315502652356"</f>
        <v>34542021112315502652356</v>
      </c>
      <c r="C1877" s="7" t="s">
        <v>23</v>
      </c>
      <c r="D1877" s="7" t="str">
        <f>"陈锦秀"</f>
        <v>陈锦秀</v>
      </c>
      <c r="E1877" s="7" t="str">
        <f>"男"</f>
        <v>男</v>
      </c>
      <c r="F1877" s="7"/>
    </row>
    <row r="1878" spans="1:6" ht="30" customHeight="1">
      <c r="A1878" s="7">
        <v>1876</v>
      </c>
      <c r="B1878" s="7" t="str">
        <f>"34542021112316443252385"</f>
        <v>34542021112316443252385</v>
      </c>
      <c r="C1878" s="7" t="s">
        <v>23</v>
      </c>
      <c r="D1878" s="7" t="str">
        <f>"沈学秋"</f>
        <v>沈学秋</v>
      </c>
      <c r="E1878" s="7" t="str">
        <f aca="true" t="shared" si="157" ref="E1878:E1888">"女"</f>
        <v>女</v>
      </c>
      <c r="F1878" s="7"/>
    </row>
    <row r="1879" spans="1:6" ht="30" customHeight="1">
      <c r="A1879" s="7">
        <v>1877</v>
      </c>
      <c r="B1879" s="7" t="str">
        <f>"34542021112317225452401"</f>
        <v>34542021112317225452401</v>
      </c>
      <c r="C1879" s="7" t="s">
        <v>23</v>
      </c>
      <c r="D1879" s="7" t="str">
        <f>"李秀娜"</f>
        <v>李秀娜</v>
      </c>
      <c r="E1879" s="7" t="str">
        <f t="shared" si="157"/>
        <v>女</v>
      </c>
      <c r="F1879" s="7"/>
    </row>
    <row r="1880" spans="1:6" ht="30" customHeight="1">
      <c r="A1880" s="7">
        <v>1878</v>
      </c>
      <c r="B1880" s="7" t="str">
        <f>"34542021112318465452434"</f>
        <v>34542021112318465452434</v>
      </c>
      <c r="C1880" s="7" t="s">
        <v>23</v>
      </c>
      <c r="D1880" s="7" t="str">
        <f>"谢寿官"</f>
        <v>谢寿官</v>
      </c>
      <c r="E1880" s="7" t="str">
        <f t="shared" si="157"/>
        <v>女</v>
      </c>
      <c r="F1880" s="7"/>
    </row>
    <row r="1881" spans="1:6" ht="30" customHeight="1">
      <c r="A1881" s="7">
        <v>1879</v>
      </c>
      <c r="B1881" s="7" t="str">
        <f>"34542021112320105452463"</f>
        <v>34542021112320105452463</v>
      </c>
      <c r="C1881" s="7" t="s">
        <v>23</v>
      </c>
      <c r="D1881" s="7" t="str">
        <f>"刘静男"</f>
        <v>刘静男</v>
      </c>
      <c r="E1881" s="7" t="str">
        <f t="shared" si="157"/>
        <v>女</v>
      </c>
      <c r="F1881" s="7"/>
    </row>
    <row r="1882" spans="1:6" ht="30" customHeight="1">
      <c r="A1882" s="7">
        <v>1880</v>
      </c>
      <c r="B1882" s="7" t="str">
        <f>"34542021112320121952464"</f>
        <v>34542021112320121952464</v>
      </c>
      <c r="C1882" s="7" t="s">
        <v>23</v>
      </c>
      <c r="D1882" s="7" t="str">
        <f>"唐向珠"</f>
        <v>唐向珠</v>
      </c>
      <c r="E1882" s="7" t="str">
        <f t="shared" si="157"/>
        <v>女</v>
      </c>
      <c r="F1882" s="7"/>
    </row>
    <row r="1883" spans="1:6" ht="30" customHeight="1">
      <c r="A1883" s="7">
        <v>1881</v>
      </c>
      <c r="B1883" s="7" t="str">
        <f>"34542021112320175752466"</f>
        <v>34542021112320175752466</v>
      </c>
      <c r="C1883" s="7" t="s">
        <v>23</v>
      </c>
      <c r="D1883" s="7" t="str">
        <f>"叶景林"</f>
        <v>叶景林</v>
      </c>
      <c r="E1883" s="7" t="str">
        <f t="shared" si="157"/>
        <v>女</v>
      </c>
      <c r="F1883" s="7"/>
    </row>
    <row r="1884" spans="1:6" ht="30" customHeight="1">
      <c r="A1884" s="7">
        <v>1882</v>
      </c>
      <c r="B1884" s="7" t="str">
        <f>"34542021112321082452490"</f>
        <v>34542021112321082452490</v>
      </c>
      <c r="C1884" s="7" t="s">
        <v>23</v>
      </c>
      <c r="D1884" s="7" t="str">
        <f>"王春燕"</f>
        <v>王春燕</v>
      </c>
      <c r="E1884" s="7" t="str">
        <f t="shared" si="157"/>
        <v>女</v>
      </c>
      <c r="F1884" s="7"/>
    </row>
    <row r="1885" spans="1:6" ht="30" customHeight="1">
      <c r="A1885" s="7">
        <v>1883</v>
      </c>
      <c r="B1885" s="7" t="str">
        <f>"34542021112409130252560"</f>
        <v>34542021112409130252560</v>
      </c>
      <c r="C1885" s="7" t="s">
        <v>23</v>
      </c>
      <c r="D1885" s="7" t="str">
        <f>"吴正玲"</f>
        <v>吴正玲</v>
      </c>
      <c r="E1885" s="7" t="str">
        <f t="shared" si="157"/>
        <v>女</v>
      </c>
      <c r="F1885" s="7"/>
    </row>
    <row r="1886" spans="1:6" ht="30" customHeight="1">
      <c r="A1886" s="7">
        <v>1884</v>
      </c>
      <c r="B1886" s="7" t="str">
        <f>"34542021112409544352570"</f>
        <v>34542021112409544352570</v>
      </c>
      <c r="C1886" s="7" t="s">
        <v>23</v>
      </c>
      <c r="D1886" s="7" t="str">
        <f>"丁启萍"</f>
        <v>丁启萍</v>
      </c>
      <c r="E1886" s="7" t="str">
        <f t="shared" si="157"/>
        <v>女</v>
      </c>
      <c r="F1886" s="7"/>
    </row>
    <row r="1887" spans="1:6" ht="30" customHeight="1">
      <c r="A1887" s="7">
        <v>1885</v>
      </c>
      <c r="B1887" s="7" t="str">
        <f>"34542021112410001152574"</f>
        <v>34542021112410001152574</v>
      </c>
      <c r="C1887" s="7" t="s">
        <v>23</v>
      </c>
      <c r="D1887" s="7" t="str">
        <f>"陈永霞"</f>
        <v>陈永霞</v>
      </c>
      <c r="E1887" s="7" t="str">
        <f t="shared" si="157"/>
        <v>女</v>
      </c>
      <c r="F1887" s="7"/>
    </row>
    <row r="1888" spans="1:6" ht="30" customHeight="1">
      <c r="A1888" s="7">
        <v>1886</v>
      </c>
      <c r="B1888" s="7" t="str">
        <f>"34542021112410115352580"</f>
        <v>34542021112410115352580</v>
      </c>
      <c r="C1888" s="7" t="s">
        <v>23</v>
      </c>
      <c r="D1888" s="7" t="str">
        <f>"温宏杏"</f>
        <v>温宏杏</v>
      </c>
      <c r="E1888" s="7" t="str">
        <f t="shared" si="157"/>
        <v>女</v>
      </c>
      <c r="F1888" s="7"/>
    </row>
    <row r="1889" spans="1:6" ht="30" customHeight="1">
      <c r="A1889" s="7">
        <v>1887</v>
      </c>
      <c r="B1889" s="7" t="str">
        <f>"34542021112410262452587"</f>
        <v>34542021112410262452587</v>
      </c>
      <c r="C1889" s="7" t="s">
        <v>23</v>
      </c>
      <c r="D1889" s="7" t="str">
        <f>"陈喜博"</f>
        <v>陈喜博</v>
      </c>
      <c r="E1889" s="7" t="str">
        <f>"男"</f>
        <v>男</v>
      </c>
      <c r="F1889" s="7"/>
    </row>
    <row r="1890" spans="1:6" ht="30" customHeight="1">
      <c r="A1890" s="7">
        <v>1888</v>
      </c>
      <c r="B1890" s="7" t="str">
        <f>"34542021112410453552600"</f>
        <v>34542021112410453552600</v>
      </c>
      <c r="C1890" s="7" t="s">
        <v>23</v>
      </c>
      <c r="D1890" s="7" t="str">
        <f>"何慧娜"</f>
        <v>何慧娜</v>
      </c>
      <c r="E1890" s="7" t="str">
        <f aca="true" t="shared" si="158" ref="E1890:E1899">"女"</f>
        <v>女</v>
      </c>
      <c r="F1890" s="7"/>
    </row>
    <row r="1891" spans="1:6" ht="30" customHeight="1">
      <c r="A1891" s="7">
        <v>1889</v>
      </c>
      <c r="B1891" s="7" t="str">
        <f>"34542021112411243552613"</f>
        <v>34542021112411243552613</v>
      </c>
      <c r="C1891" s="7" t="s">
        <v>23</v>
      </c>
      <c r="D1891" s="7" t="str">
        <f>"李彩连"</f>
        <v>李彩连</v>
      </c>
      <c r="E1891" s="7" t="str">
        <f t="shared" si="158"/>
        <v>女</v>
      </c>
      <c r="F1891" s="7"/>
    </row>
    <row r="1892" spans="1:6" ht="30" customHeight="1">
      <c r="A1892" s="7">
        <v>1890</v>
      </c>
      <c r="B1892" s="7" t="str">
        <f>"34542021112411401652621"</f>
        <v>34542021112411401652621</v>
      </c>
      <c r="C1892" s="7" t="s">
        <v>23</v>
      </c>
      <c r="D1892" s="7" t="str">
        <f>"陈金黛"</f>
        <v>陈金黛</v>
      </c>
      <c r="E1892" s="7" t="str">
        <f t="shared" si="158"/>
        <v>女</v>
      </c>
      <c r="F1892" s="7"/>
    </row>
    <row r="1893" spans="1:6" ht="30" customHeight="1">
      <c r="A1893" s="7">
        <v>1891</v>
      </c>
      <c r="B1893" s="7" t="str">
        <f>"34542021112411470852624"</f>
        <v>34542021112411470852624</v>
      </c>
      <c r="C1893" s="7" t="s">
        <v>23</v>
      </c>
      <c r="D1893" s="7" t="str">
        <f>"徐春花"</f>
        <v>徐春花</v>
      </c>
      <c r="E1893" s="7" t="str">
        <f t="shared" si="158"/>
        <v>女</v>
      </c>
      <c r="F1893" s="7"/>
    </row>
    <row r="1894" spans="1:6" ht="30" customHeight="1">
      <c r="A1894" s="7">
        <v>1892</v>
      </c>
      <c r="B1894" s="7" t="str">
        <f>"34542021112412505652639"</f>
        <v>34542021112412505652639</v>
      </c>
      <c r="C1894" s="7" t="s">
        <v>23</v>
      </c>
      <c r="D1894" s="7" t="str">
        <f>"郭福姣"</f>
        <v>郭福姣</v>
      </c>
      <c r="E1894" s="7" t="str">
        <f t="shared" si="158"/>
        <v>女</v>
      </c>
      <c r="F1894" s="7"/>
    </row>
    <row r="1895" spans="1:6" ht="30" customHeight="1">
      <c r="A1895" s="7">
        <v>1893</v>
      </c>
      <c r="B1895" s="7" t="str">
        <f>"34542021112416101652684"</f>
        <v>34542021112416101652684</v>
      </c>
      <c r="C1895" s="7" t="s">
        <v>23</v>
      </c>
      <c r="D1895" s="7" t="str">
        <f>"郑婷娟"</f>
        <v>郑婷娟</v>
      </c>
      <c r="E1895" s="7" t="str">
        <f t="shared" si="158"/>
        <v>女</v>
      </c>
      <c r="F1895" s="7"/>
    </row>
    <row r="1896" spans="1:6" ht="30" customHeight="1">
      <c r="A1896" s="7">
        <v>1894</v>
      </c>
      <c r="B1896" s="7" t="str">
        <f>"34542021112418394052731"</f>
        <v>34542021112418394052731</v>
      </c>
      <c r="C1896" s="7" t="s">
        <v>23</v>
      </c>
      <c r="D1896" s="7" t="str">
        <f>"黎华"</f>
        <v>黎华</v>
      </c>
      <c r="E1896" s="7" t="str">
        <f t="shared" si="158"/>
        <v>女</v>
      </c>
      <c r="F1896" s="7"/>
    </row>
    <row r="1897" spans="1:6" ht="30" customHeight="1">
      <c r="A1897" s="7">
        <v>1895</v>
      </c>
      <c r="B1897" s="7" t="str">
        <f>"34542021112420291352773"</f>
        <v>34542021112420291352773</v>
      </c>
      <c r="C1897" s="7" t="s">
        <v>23</v>
      </c>
      <c r="D1897" s="7" t="str">
        <f>"符礼珍"</f>
        <v>符礼珍</v>
      </c>
      <c r="E1897" s="7" t="str">
        <f t="shared" si="158"/>
        <v>女</v>
      </c>
      <c r="F1897" s="7"/>
    </row>
    <row r="1898" spans="1:6" ht="30" customHeight="1">
      <c r="A1898" s="7">
        <v>1896</v>
      </c>
      <c r="B1898" s="7" t="str">
        <f>"34542021112509495352906"</f>
        <v>34542021112509495352906</v>
      </c>
      <c r="C1898" s="7" t="s">
        <v>23</v>
      </c>
      <c r="D1898" s="7" t="str">
        <f>"王月翠"</f>
        <v>王月翠</v>
      </c>
      <c r="E1898" s="7" t="str">
        <f t="shared" si="158"/>
        <v>女</v>
      </c>
      <c r="F1898" s="7"/>
    </row>
    <row r="1899" spans="1:6" ht="30" customHeight="1">
      <c r="A1899" s="7">
        <v>1897</v>
      </c>
      <c r="B1899" s="7" t="str">
        <f>"34542021112511371252950"</f>
        <v>34542021112511371252950</v>
      </c>
      <c r="C1899" s="7" t="s">
        <v>23</v>
      </c>
      <c r="D1899" s="7" t="str">
        <f>"吴剑翡"</f>
        <v>吴剑翡</v>
      </c>
      <c r="E1899" s="7" t="str">
        <f t="shared" si="158"/>
        <v>女</v>
      </c>
      <c r="F1899" s="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user1310</cp:lastModifiedBy>
  <dcterms:created xsi:type="dcterms:W3CDTF">2021-11-26T10:41:56Z</dcterms:created>
  <dcterms:modified xsi:type="dcterms:W3CDTF">2021-11-30T07:01:10Z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A8972A5048A5488E8FB68ED8B7AD590D</vt:lpwstr>
  </property>
  <property fmtid="{D5CDD505-2E9C-101B-9397-08002B2CF9AE}" pid="4" name="KSOProductBuildV">
    <vt:lpwstr>2052-11.8.2.8411</vt:lpwstr>
  </property>
</Properties>
</file>