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（合格）海口市秀英区2021年公开招聘中小学教师0605" sheetId="1" r:id="rId1"/>
  </sheets>
  <definedNames/>
  <calcPr fullCalcOnLoad="1"/>
</workbook>
</file>

<file path=xl/sharedStrings.xml><?xml version="1.0" encoding="utf-8"?>
<sst xmlns="http://schemas.openxmlformats.org/spreadsheetml/2006/main" count="6025" uniqueCount="1774">
  <si>
    <t>海口市秀英区2021年公开招聘中小学教师资格初审合格名单</t>
  </si>
  <si>
    <t>序号</t>
  </si>
  <si>
    <t>报考号</t>
  </si>
  <si>
    <t>报考岗位</t>
  </si>
  <si>
    <t>姓名</t>
  </si>
  <si>
    <t>性别</t>
  </si>
  <si>
    <t>0101_中学英语岗位</t>
  </si>
  <si>
    <t>0102_中学历史岗位</t>
  </si>
  <si>
    <t>0103_中学政治岗位</t>
  </si>
  <si>
    <t>0104_中学生物岗位</t>
  </si>
  <si>
    <t>0105_中学化学岗位</t>
  </si>
  <si>
    <t>0106_中学计算机岗位</t>
  </si>
  <si>
    <t>299420210525093837104473</t>
  </si>
  <si>
    <t>0107_中学体育岗位</t>
  </si>
  <si>
    <t>高小乐</t>
  </si>
  <si>
    <t>男</t>
  </si>
  <si>
    <t>299420210525101834104709</t>
  </si>
  <si>
    <t>王录泮</t>
  </si>
  <si>
    <t>299420210525102408104744</t>
  </si>
  <si>
    <t>杨令捷</t>
  </si>
  <si>
    <t>299420210525114259105157</t>
  </si>
  <si>
    <t>李凤辉</t>
  </si>
  <si>
    <t>299420210525125143105421</t>
  </si>
  <si>
    <t>符春宝</t>
  </si>
  <si>
    <t>299420210525130333105453</t>
  </si>
  <si>
    <t>李南健</t>
  </si>
  <si>
    <t>299420210525130716105460</t>
  </si>
  <si>
    <t>王聪</t>
  </si>
  <si>
    <t>299420210525160720105867</t>
  </si>
  <si>
    <t>高良</t>
  </si>
  <si>
    <t>299420210525224344106794</t>
  </si>
  <si>
    <t>黄倩</t>
  </si>
  <si>
    <t>女</t>
  </si>
  <si>
    <t>299420210526010013106935</t>
  </si>
  <si>
    <t>陈天丹</t>
  </si>
  <si>
    <t>299420210526123731107538</t>
  </si>
  <si>
    <t>欧姝君</t>
  </si>
  <si>
    <t>299420210526221908108583</t>
  </si>
  <si>
    <t>许春丽</t>
  </si>
  <si>
    <t>299420210526223554108615</t>
  </si>
  <si>
    <t>吴金荣</t>
  </si>
  <si>
    <t>299420210528102957110418</t>
  </si>
  <si>
    <t>和涌</t>
  </si>
  <si>
    <t>299420210528132550110696</t>
  </si>
  <si>
    <t>李玉锦</t>
  </si>
  <si>
    <t>299420210529224100111972</t>
  </si>
  <si>
    <t>陈冠忠</t>
  </si>
  <si>
    <t>299420210530214046112705</t>
  </si>
  <si>
    <t>吴启泽</t>
  </si>
  <si>
    <t>299420210530235032112867</t>
  </si>
  <si>
    <t>周凤重</t>
  </si>
  <si>
    <t>299420210531105636113206</t>
  </si>
  <si>
    <t>黎建贤</t>
  </si>
  <si>
    <t>299420210525102439104748</t>
  </si>
  <si>
    <t>0108_中学美术岗位</t>
  </si>
  <si>
    <t>丁鑫</t>
  </si>
  <si>
    <t>299420210525131720105481</t>
  </si>
  <si>
    <t>吴源权</t>
  </si>
  <si>
    <t>299420210525152306105722</t>
  </si>
  <si>
    <t>孙涛涛</t>
  </si>
  <si>
    <t>299420210525174653106116</t>
  </si>
  <si>
    <t>陈蔚莹</t>
  </si>
  <si>
    <t>299420210525230559106829</t>
  </si>
  <si>
    <t>符先进</t>
  </si>
  <si>
    <t>299420210526125523107593</t>
  </si>
  <si>
    <t>张姗姗</t>
  </si>
  <si>
    <t>299420210527092942108931</t>
  </si>
  <si>
    <t>赵翠红</t>
  </si>
  <si>
    <t>299420210527115409109191</t>
  </si>
  <si>
    <t>杜馨</t>
  </si>
  <si>
    <t>299420210527120508109197</t>
  </si>
  <si>
    <t>李传成</t>
  </si>
  <si>
    <t>299420210530130637112289</t>
  </si>
  <si>
    <t>姜亮</t>
  </si>
  <si>
    <t>299420210530151836112361</t>
  </si>
  <si>
    <t>黄廷梅</t>
  </si>
  <si>
    <t>299420210530174157112468</t>
  </si>
  <si>
    <t>王腾娇</t>
  </si>
  <si>
    <t>299420210531102441113143</t>
  </si>
  <si>
    <t>赵炎</t>
  </si>
  <si>
    <t>299420210525090900104300</t>
  </si>
  <si>
    <t>0109_中学物理岗位</t>
  </si>
  <si>
    <t>梁建军</t>
  </si>
  <si>
    <t>299420210525094316104504</t>
  </si>
  <si>
    <t>吴克姣</t>
  </si>
  <si>
    <t>299420210525094405104508</t>
  </si>
  <si>
    <t>王国玉</t>
  </si>
  <si>
    <t>299420210525095008104545</t>
  </si>
  <si>
    <t>林丽芳</t>
  </si>
  <si>
    <t>299420210525100753104644</t>
  </si>
  <si>
    <t>陈芳婷</t>
  </si>
  <si>
    <t>299420210525101051104658</t>
  </si>
  <si>
    <t>陈言妙</t>
  </si>
  <si>
    <t>299420210525102429104747</t>
  </si>
  <si>
    <t>李君位</t>
  </si>
  <si>
    <t>299420210525103113104800</t>
  </si>
  <si>
    <t>黎婷</t>
  </si>
  <si>
    <t>299420210525103546104837</t>
  </si>
  <si>
    <t>符少文</t>
  </si>
  <si>
    <t>299420210525104453104891</t>
  </si>
  <si>
    <t>陈妹</t>
  </si>
  <si>
    <t>299420210525113111105109</t>
  </si>
  <si>
    <t>陈益丽</t>
  </si>
  <si>
    <t>299420210525114649105169</t>
  </si>
  <si>
    <t>李青丽</t>
  </si>
  <si>
    <t>299420210525115545105209</t>
  </si>
  <si>
    <t>吕姗</t>
  </si>
  <si>
    <t>299420210525154612105802</t>
  </si>
  <si>
    <t>陈翠红</t>
  </si>
  <si>
    <t>299420210525154625105804</t>
  </si>
  <si>
    <t>周雪晶</t>
  </si>
  <si>
    <t>299420210525160148105854</t>
  </si>
  <si>
    <t>张冬洁</t>
  </si>
  <si>
    <t>299420210525160658105864</t>
  </si>
  <si>
    <t>张雯</t>
  </si>
  <si>
    <t>299420210525164044105965</t>
  </si>
  <si>
    <t>刘鹏</t>
  </si>
  <si>
    <t>299420210525172649106067</t>
  </si>
  <si>
    <t>吴晓蕾</t>
  </si>
  <si>
    <t>299420210525190855106296</t>
  </si>
  <si>
    <t>张琦</t>
  </si>
  <si>
    <t>299420210525200205106425</t>
  </si>
  <si>
    <t>倪俊能</t>
  </si>
  <si>
    <t>299420210525215902106695</t>
  </si>
  <si>
    <t>秦彩玉</t>
  </si>
  <si>
    <t>299420210525220221106704</t>
  </si>
  <si>
    <t>冯智</t>
  </si>
  <si>
    <t>299420210525222025106738</t>
  </si>
  <si>
    <t>王俊闲</t>
  </si>
  <si>
    <t>299420210525222307106746</t>
  </si>
  <si>
    <t>邓雅丹</t>
  </si>
  <si>
    <t>299420210525230723106833</t>
  </si>
  <si>
    <t>靳向东</t>
  </si>
  <si>
    <t>299420210525233436106871</t>
  </si>
  <si>
    <t>王民政</t>
  </si>
  <si>
    <t>299420210526075406106970</t>
  </si>
  <si>
    <t>林硕</t>
  </si>
  <si>
    <t>299420210526082850107004</t>
  </si>
  <si>
    <t>符桂秋</t>
  </si>
  <si>
    <t>299420210526092543107108</t>
  </si>
  <si>
    <t>符诗晨</t>
  </si>
  <si>
    <t>299420210526095048107171</t>
  </si>
  <si>
    <t>王会影</t>
  </si>
  <si>
    <t>299420210526101138107224</t>
  </si>
  <si>
    <t>韩妹</t>
  </si>
  <si>
    <t>299420210526101858107246</t>
  </si>
  <si>
    <t>李彦容</t>
  </si>
  <si>
    <t>299420210526103117107283</t>
  </si>
  <si>
    <t>朱春虹</t>
  </si>
  <si>
    <t>299420210526103408107292</t>
  </si>
  <si>
    <t>李春蕾</t>
  </si>
  <si>
    <t>299420210526103924107304</t>
  </si>
  <si>
    <t>夏梦</t>
  </si>
  <si>
    <t>299420210526105521107337</t>
  </si>
  <si>
    <t>郑诗颜子</t>
  </si>
  <si>
    <t>299420210526105658107342</t>
  </si>
  <si>
    <t>王子洁</t>
  </si>
  <si>
    <t>299420210526113148107416</t>
  </si>
  <si>
    <t>黄林欢</t>
  </si>
  <si>
    <t>299420210526122154107505</t>
  </si>
  <si>
    <t>卢大庆</t>
  </si>
  <si>
    <t>299420210526140925107668</t>
  </si>
  <si>
    <t>冯晓琴</t>
  </si>
  <si>
    <t>299420210526144311107695</t>
  </si>
  <si>
    <t>卓桂庄</t>
  </si>
  <si>
    <t>299420210526150517107739</t>
  </si>
  <si>
    <t>钟婉精</t>
  </si>
  <si>
    <t>299420210526163934107931</t>
  </si>
  <si>
    <t>梁君</t>
  </si>
  <si>
    <t>299420210526171850108004</t>
  </si>
  <si>
    <t>王惠</t>
  </si>
  <si>
    <t>299420210526172401108016</t>
  </si>
  <si>
    <t>羊良松</t>
  </si>
  <si>
    <t>299420210526183524108138</t>
  </si>
  <si>
    <t>李益婷</t>
  </si>
  <si>
    <t>299420210526185818108179</t>
  </si>
  <si>
    <t>杨希</t>
  </si>
  <si>
    <t>299420210526190252108185</t>
  </si>
  <si>
    <t>王祚师</t>
  </si>
  <si>
    <t>299420210526213233108469</t>
  </si>
  <si>
    <t>陈丽</t>
  </si>
  <si>
    <t>299420210526213757108481</t>
  </si>
  <si>
    <t>汤超</t>
  </si>
  <si>
    <t>299420210526214911108503</t>
  </si>
  <si>
    <t>陈丽倩</t>
  </si>
  <si>
    <t>299420210526224049108630</t>
  </si>
  <si>
    <t>吉训俐</t>
  </si>
  <si>
    <t>299420210527010609108770</t>
  </si>
  <si>
    <t>周鸿祯</t>
  </si>
  <si>
    <t>299420210527095332108969</t>
  </si>
  <si>
    <t>杨土桃</t>
  </si>
  <si>
    <t>299420210527100149108991</t>
  </si>
  <si>
    <t>王丽秧</t>
  </si>
  <si>
    <t>299420210527100325108995</t>
  </si>
  <si>
    <t>王秀敏</t>
  </si>
  <si>
    <t>299420210527113502109167</t>
  </si>
  <si>
    <t>吴和月</t>
  </si>
  <si>
    <t>299420210527124500109257</t>
  </si>
  <si>
    <t>陈茜睿</t>
  </si>
  <si>
    <t>299420210527134152109323</t>
  </si>
  <si>
    <t>吴若翠</t>
  </si>
  <si>
    <t>299420210527142748109360</t>
  </si>
  <si>
    <t>王秋平</t>
  </si>
  <si>
    <t>299420210527144105109378</t>
  </si>
  <si>
    <t>林维朴</t>
  </si>
  <si>
    <t>299420210527151452109426</t>
  </si>
  <si>
    <t>陈文晶</t>
  </si>
  <si>
    <t>299420210527160026109513</t>
  </si>
  <si>
    <t>陈杨涛</t>
  </si>
  <si>
    <t>299420210527161007109533</t>
  </si>
  <si>
    <t>何炎</t>
  </si>
  <si>
    <t>299420210527193828109826</t>
  </si>
  <si>
    <t>沈永贤</t>
  </si>
  <si>
    <t>299420210527193831109827</t>
  </si>
  <si>
    <t>黎木香</t>
  </si>
  <si>
    <t>299420210527230036110104</t>
  </si>
  <si>
    <t>杨芳丽</t>
  </si>
  <si>
    <t>299420210527230303110107</t>
  </si>
  <si>
    <t>黎新钰</t>
  </si>
  <si>
    <t>299420210528075229110192</t>
  </si>
  <si>
    <t>李丽香</t>
  </si>
  <si>
    <t>299420210528090948110265</t>
  </si>
  <si>
    <t>王执珍</t>
  </si>
  <si>
    <t>299420210528103116110420</t>
  </si>
  <si>
    <t>庄华曼</t>
  </si>
  <si>
    <t>299420210528103224110424</t>
  </si>
  <si>
    <t>王孟桃</t>
  </si>
  <si>
    <t>299420210528104426110445</t>
  </si>
  <si>
    <t>林小南</t>
  </si>
  <si>
    <t>299420210528113708110538</t>
  </si>
  <si>
    <t>邓海波</t>
  </si>
  <si>
    <t>299420210528132541110695</t>
  </si>
  <si>
    <t>曾玉娟</t>
  </si>
  <si>
    <t>299420210528152812110850</t>
  </si>
  <si>
    <t>黄秋梅</t>
  </si>
  <si>
    <t>299420210528172640111025</t>
  </si>
  <si>
    <t>王敏</t>
  </si>
  <si>
    <t>299420210528190450111136</t>
  </si>
  <si>
    <t>周炳惠</t>
  </si>
  <si>
    <t>299420210528224450111330</t>
  </si>
  <si>
    <t>黄少燕</t>
  </si>
  <si>
    <t>299420210529082423111416</t>
  </si>
  <si>
    <t>谢是良</t>
  </si>
  <si>
    <t>299420210529104631111511</t>
  </si>
  <si>
    <t>邢燕</t>
  </si>
  <si>
    <t>299420210529105220111518</t>
  </si>
  <si>
    <t>王彩丹</t>
  </si>
  <si>
    <t>299420210529114336111574</t>
  </si>
  <si>
    <t>陈益娇</t>
  </si>
  <si>
    <t>299420210529182317111816</t>
  </si>
  <si>
    <t>陈小月</t>
  </si>
  <si>
    <t>299420210529183239111822</t>
  </si>
  <si>
    <t>黄栋</t>
  </si>
  <si>
    <t>299420210529185753111834</t>
  </si>
  <si>
    <t>辛稀伟</t>
  </si>
  <si>
    <t>299420210529210548111899</t>
  </si>
  <si>
    <t>吴桃坤</t>
  </si>
  <si>
    <t>299420210529225224111985</t>
  </si>
  <si>
    <t>李玉芬</t>
  </si>
  <si>
    <t>299420210530084140112080</t>
  </si>
  <si>
    <t>张洁</t>
  </si>
  <si>
    <t>299420210530091729112096</t>
  </si>
  <si>
    <t>林云丽</t>
  </si>
  <si>
    <t>299420210530120411112242</t>
  </si>
  <si>
    <t>陈虹</t>
  </si>
  <si>
    <t>299420210530131640112298</t>
  </si>
  <si>
    <t>叶佩玲</t>
  </si>
  <si>
    <t>299420210530150938112352</t>
  </si>
  <si>
    <t>陈小慧</t>
  </si>
  <si>
    <t>299420210530173951112465</t>
  </si>
  <si>
    <t>韩定乐</t>
  </si>
  <si>
    <t>299420210530185403112535</t>
  </si>
  <si>
    <t>吴锦亮</t>
  </si>
  <si>
    <t>299420210530202952112610</t>
  </si>
  <si>
    <t>关怀</t>
  </si>
  <si>
    <t>299420210530215050112714</t>
  </si>
  <si>
    <t>曾德勇</t>
  </si>
  <si>
    <t>299420210531080404112942</t>
  </si>
  <si>
    <t>梁渊钧</t>
  </si>
  <si>
    <t>299420210531083052112964</t>
  </si>
  <si>
    <t>孙小燕</t>
  </si>
  <si>
    <t>299420210531090451113005</t>
  </si>
  <si>
    <t>倪德美</t>
  </si>
  <si>
    <t>299420210531092642113037</t>
  </si>
  <si>
    <t>滕发广</t>
  </si>
  <si>
    <t>299420210531100929113120</t>
  </si>
  <si>
    <t>秦菁菁</t>
  </si>
  <si>
    <t>299420210531102431113142</t>
  </si>
  <si>
    <t>冯晓静</t>
  </si>
  <si>
    <t>299420210531102734113148</t>
  </si>
  <si>
    <t>王小云</t>
  </si>
  <si>
    <t>299420210531104109113181</t>
  </si>
  <si>
    <t>王海珠</t>
  </si>
  <si>
    <t>299420210531123411113331</t>
  </si>
  <si>
    <t>陈晓霞</t>
  </si>
  <si>
    <t>299420210531144448113497</t>
  </si>
  <si>
    <t>孟巧璞</t>
  </si>
  <si>
    <t>299420210531153725113588</t>
  </si>
  <si>
    <t>吴盛</t>
  </si>
  <si>
    <t>299420210525090229104251</t>
  </si>
  <si>
    <t>0110_中学地理岗位</t>
  </si>
  <si>
    <t>陈慕桦</t>
  </si>
  <si>
    <t>299420210525090436104272</t>
  </si>
  <si>
    <t>何升民</t>
  </si>
  <si>
    <t>299420210525091934104369</t>
  </si>
  <si>
    <t>殷秋虹</t>
  </si>
  <si>
    <t>299420210525094309104502</t>
  </si>
  <si>
    <t>曹杨琪</t>
  </si>
  <si>
    <t>299420210525094619104520</t>
  </si>
  <si>
    <t>陈婷婷</t>
  </si>
  <si>
    <t>299420210525095340104564</t>
  </si>
  <si>
    <t>李超然</t>
  </si>
  <si>
    <t>299420210525095404104567</t>
  </si>
  <si>
    <t>郑珊珊</t>
  </si>
  <si>
    <t>299420210525100958104652</t>
  </si>
  <si>
    <t>符尤晶</t>
  </si>
  <si>
    <t>299420210525102323104741</t>
  </si>
  <si>
    <t>张燕萍</t>
  </si>
  <si>
    <t>299420210525102528104754</t>
  </si>
  <si>
    <t>邢维婷</t>
  </si>
  <si>
    <t>299420210525103024104793</t>
  </si>
  <si>
    <t>郭传艳</t>
  </si>
  <si>
    <t>299420210525103037104794</t>
  </si>
  <si>
    <t>孙丽蓉</t>
  </si>
  <si>
    <t>299420210525103157104804</t>
  </si>
  <si>
    <t>王杏</t>
  </si>
  <si>
    <t>299420210525105311104933</t>
  </si>
  <si>
    <t>吴贻照</t>
  </si>
  <si>
    <t>299420210525111716105044</t>
  </si>
  <si>
    <t>王春秋</t>
  </si>
  <si>
    <t>299420210525112443105081</t>
  </si>
  <si>
    <t>曾曼群</t>
  </si>
  <si>
    <t>299420210525114057105145</t>
  </si>
  <si>
    <t>李潇洋</t>
  </si>
  <si>
    <t>299420210525121256105276</t>
  </si>
  <si>
    <t>蔡婉菲</t>
  </si>
  <si>
    <t>299420210525123903105369</t>
  </si>
  <si>
    <t>蔡开止</t>
  </si>
  <si>
    <t>299420210525124609105397</t>
  </si>
  <si>
    <t>陈光丹</t>
  </si>
  <si>
    <t>299420210525140533105556</t>
  </si>
  <si>
    <t>陈馨瑶</t>
  </si>
  <si>
    <t>299420210525143531105600</t>
  </si>
  <si>
    <t>肖丽</t>
  </si>
  <si>
    <t>299420210525155251105828</t>
  </si>
  <si>
    <t>文陈华</t>
  </si>
  <si>
    <t>299420210525155328105830</t>
  </si>
  <si>
    <t>邱华南</t>
  </si>
  <si>
    <t>299420210525160007105848</t>
  </si>
  <si>
    <t>张雯雯</t>
  </si>
  <si>
    <t>299420210525161513105892</t>
  </si>
  <si>
    <t>王雪</t>
  </si>
  <si>
    <t>299420210525162134105910</t>
  </si>
  <si>
    <t>王丽</t>
  </si>
  <si>
    <t>299420210525163946105962</t>
  </si>
  <si>
    <t>周天兰</t>
  </si>
  <si>
    <t>299420210525165653106004</t>
  </si>
  <si>
    <t>郑蕾</t>
  </si>
  <si>
    <t>299420210525170812106033</t>
  </si>
  <si>
    <t>张素</t>
  </si>
  <si>
    <t>299420210525175900106142</t>
  </si>
  <si>
    <t>李小连</t>
  </si>
  <si>
    <t>299420210525180348106154</t>
  </si>
  <si>
    <t>吴玉妹</t>
  </si>
  <si>
    <t>299420210525181656106181</t>
  </si>
  <si>
    <t>麦初欢</t>
  </si>
  <si>
    <t>299420210525184536106248</t>
  </si>
  <si>
    <t>林烨</t>
  </si>
  <si>
    <t>299420210525191943106314</t>
  </si>
  <si>
    <t>钟文莹</t>
  </si>
  <si>
    <t>299420210525200344106429</t>
  </si>
  <si>
    <t>黄陈妹</t>
  </si>
  <si>
    <t>299420210525213805106646</t>
  </si>
  <si>
    <t>王钰婷</t>
  </si>
  <si>
    <t>299420210526001109106911</t>
  </si>
  <si>
    <t>吴金香</t>
  </si>
  <si>
    <t>299420210526005340106934</t>
  </si>
  <si>
    <t>文秋娴</t>
  </si>
  <si>
    <t>299420210526084826107037</t>
  </si>
  <si>
    <t>谭春暖</t>
  </si>
  <si>
    <t>299420210526092924107122</t>
  </si>
  <si>
    <t>杨玉秀</t>
  </si>
  <si>
    <t>299420210526094039107150</t>
  </si>
  <si>
    <t>杨燕</t>
  </si>
  <si>
    <t>299420210526094159107154</t>
  </si>
  <si>
    <t>王小怡</t>
  </si>
  <si>
    <t>299420210526094515107160</t>
  </si>
  <si>
    <t>周子乃</t>
  </si>
  <si>
    <t>299420210526095301107174</t>
  </si>
  <si>
    <t>李智明</t>
  </si>
  <si>
    <t>299420210526104843107319</t>
  </si>
  <si>
    <t>文晓芬</t>
  </si>
  <si>
    <t>299420210526122031107504</t>
  </si>
  <si>
    <t>陈迎醒</t>
  </si>
  <si>
    <t>299420210526122841107519</t>
  </si>
  <si>
    <t>陈海妃</t>
  </si>
  <si>
    <t>299420210526123259107530</t>
  </si>
  <si>
    <t>黄水玲</t>
  </si>
  <si>
    <t>299420210526125205107582</t>
  </si>
  <si>
    <t>黄雪慧</t>
  </si>
  <si>
    <t>299420210526150835107745</t>
  </si>
  <si>
    <t>李冰</t>
  </si>
  <si>
    <t>299420210526153422107791</t>
  </si>
  <si>
    <t>陈爱选</t>
  </si>
  <si>
    <t>299420210526155954107855</t>
  </si>
  <si>
    <t>陈夏珠</t>
  </si>
  <si>
    <t>299420210526160219107858</t>
  </si>
  <si>
    <t>符永悄</t>
  </si>
  <si>
    <t>299420210526161259107883</t>
  </si>
  <si>
    <t>林璧冰</t>
  </si>
  <si>
    <t>299420210526162230107903</t>
  </si>
  <si>
    <t>黄文谷</t>
  </si>
  <si>
    <t>299420210526170722107988</t>
  </si>
  <si>
    <t>罗玉华</t>
  </si>
  <si>
    <t>299420210526171037107997</t>
  </si>
  <si>
    <t>王昱蓓</t>
  </si>
  <si>
    <t>299420210526174319108047</t>
  </si>
  <si>
    <t>任丽颖</t>
  </si>
  <si>
    <t>299420210526181204108096</t>
  </si>
  <si>
    <t>刘晓霜</t>
  </si>
  <si>
    <t>299420210526183548108139</t>
  </si>
  <si>
    <t>朱儒平</t>
  </si>
  <si>
    <t>299420210526192237108215</t>
  </si>
  <si>
    <t>陈苗</t>
  </si>
  <si>
    <t>299420210526215226108512</t>
  </si>
  <si>
    <t>郭教薇</t>
  </si>
  <si>
    <t>299420210526215808108526</t>
  </si>
  <si>
    <t>黄小钊</t>
  </si>
  <si>
    <t>299420210526233702108709</t>
  </si>
  <si>
    <t>符艾萍</t>
  </si>
  <si>
    <t>299420210527003837108757</t>
  </si>
  <si>
    <t>王婷香</t>
  </si>
  <si>
    <t>299420210527080531108823</t>
  </si>
  <si>
    <t>卢珊珊</t>
  </si>
  <si>
    <t>299420210527081005108826</t>
  </si>
  <si>
    <t>郑佳丽</t>
  </si>
  <si>
    <t>299420210527091625108907</t>
  </si>
  <si>
    <t>朱玉梅</t>
  </si>
  <si>
    <t>299420210527093319108939</t>
  </si>
  <si>
    <t>吴园园</t>
  </si>
  <si>
    <t>299420210527101711109030</t>
  </si>
  <si>
    <t>陈朝龙</t>
  </si>
  <si>
    <t>299420210527140612109342</t>
  </si>
  <si>
    <t>陈春婉</t>
  </si>
  <si>
    <t>299420210527160317109520</t>
  </si>
  <si>
    <t>黄彩玉</t>
  </si>
  <si>
    <t>299420210527163133109572</t>
  </si>
  <si>
    <t>庄丽株</t>
  </si>
  <si>
    <t>299420210527163631109581</t>
  </si>
  <si>
    <t>周麒</t>
  </si>
  <si>
    <t>299420210527171022109656</t>
  </si>
  <si>
    <t>陈海云</t>
  </si>
  <si>
    <t>299420210527195328109848</t>
  </si>
  <si>
    <t>陈静</t>
  </si>
  <si>
    <t>299420210527211501109958</t>
  </si>
  <si>
    <t>王春香</t>
  </si>
  <si>
    <t>299420210527212739109978</t>
  </si>
  <si>
    <t>陈芳深</t>
  </si>
  <si>
    <t>299420210527231144110115</t>
  </si>
  <si>
    <t>岑娜</t>
  </si>
  <si>
    <t>299420210527231815110122</t>
  </si>
  <si>
    <t>陈江</t>
  </si>
  <si>
    <t>299420210527235959110152</t>
  </si>
  <si>
    <t>谢锡莉</t>
  </si>
  <si>
    <t>299420210528004112110170</t>
  </si>
  <si>
    <t>吴碧</t>
  </si>
  <si>
    <t>299420210528092831110301</t>
  </si>
  <si>
    <t>吴小丹</t>
  </si>
  <si>
    <t>299420210528092958110303</t>
  </si>
  <si>
    <t>林杏</t>
  </si>
  <si>
    <t>299420210528102022110395</t>
  </si>
  <si>
    <t>王涵</t>
  </si>
  <si>
    <t>299420210528105337110469</t>
  </si>
  <si>
    <t>何雨琪</t>
  </si>
  <si>
    <t>299420210528105551110473</t>
  </si>
  <si>
    <t>黄阳玲</t>
  </si>
  <si>
    <t>299420210528122854110597</t>
  </si>
  <si>
    <t>陈韵</t>
  </si>
  <si>
    <t>299420210528143519110780</t>
  </si>
  <si>
    <t>朱娇</t>
  </si>
  <si>
    <t>299420210528154729110885</t>
  </si>
  <si>
    <t>林小夏</t>
  </si>
  <si>
    <t>299420210528162641110936</t>
  </si>
  <si>
    <t>王榆媛</t>
  </si>
  <si>
    <t>299420210528164209110967</t>
  </si>
  <si>
    <t>张泽芬</t>
  </si>
  <si>
    <t>299420210528170608110995</t>
  </si>
  <si>
    <t>周月风</t>
  </si>
  <si>
    <t>299420210528174047111042</t>
  </si>
  <si>
    <t>甘碧媛</t>
  </si>
  <si>
    <t>299420210528185251111122</t>
  </si>
  <si>
    <t>谢晶净</t>
  </si>
  <si>
    <t>299420210528200029111188</t>
  </si>
  <si>
    <t>蔡小娜</t>
  </si>
  <si>
    <t>299420210528230517111346</t>
  </si>
  <si>
    <t>卓书标</t>
  </si>
  <si>
    <t>299420210529000609111381</t>
  </si>
  <si>
    <t>李娇珍</t>
  </si>
  <si>
    <t>299420210529064528111403</t>
  </si>
  <si>
    <t>邓亚漂</t>
  </si>
  <si>
    <t>299420210529072643111407</t>
  </si>
  <si>
    <t>林彬彬</t>
  </si>
  <si>
    <t>299420210529091615111436</t>
  </si>
  <si>
    <t>周颖花</t>
  </si>
  <si>
    <t>299420210529102859111490</t>
  </si>
  <si>
    <t>黄静仪</t>
  </si>
  <si>
    <t>299420210529114002111570</t>
  </si>
  <si>
    <t>吴华靖</t>
  </si>
  <si>
    <t>299420210529135812111669</t>
  </si>
  <si>
    <t>林碧莹</t>
  </si>
  <si>
    <t>299420210529140604111675</t>
  </si>
  <si>
    <t>王鹏</t>
  </si>
  <si>
    <t>299420210529165318111764</t>
  </si>
  <si>
    <t>莫燕萍</t>
  </si>
  <si>
    <t>299420210529181543111813</t>
  </si>
  <si>
    <t>冯颖</t>
  </si>
  <si>
    <t>299420210529211843111909</t>
  </si>
  <si>
    <t>吴秋桂</t>
  </si>
  <si>
    <t>299420210529225432111987</t>
  </si>
  <si>
    <t>冯行宏</t>
  </si>
  <si>
    <t>299420210530022756112055</t>
  </si>
  <si>
    <t>谢青彤</t>
  </si>
  <si>
    <t>299420210530124600112278</t>
  </si>
  <si>
    <t>冯敏</t>
  </si>
  <si>
    <t>299420210530132237112301</t>
  </si>
  <si>
    <t>孙翠妹</t>
  </si>
  <si>
    <t>299420210530151813112360</t>
  </si>
  <si>
    <t>朱俊雯</t>
  </si>
  <si>
    <t>299420210530211417112674</t>
  </si>
  <si>
    <t>吴凡</t>
  </si>
  <si>
    <t>299420210531000346112874</t>
  </si>
  <si>
    <t>林觉蓝</t>
  </si>
  <si>
    <t>299420210531003532112895</t>
  </si>
  <si>
    <t>王小霞</t>
  </si>
  <si>
    <t>299420210531091909113017</t>
  </si>
  <si>
    <t>石翠雯</t>
  </si>
  <si>
    <t>299420210531092828113041</t>
  </si>
  <si>
    <t>李燕婷</t>
  </si>
  <si>
    <t>299420210531094631113083</t>
  </si>
  <si>
    <t>黄琳</t>
  </si>
  <si>
    <t>299420210531100219113111</t>
  </si>
  <si>
    <t>周明媚</t>
  </si>
  <si>
    <t>299420210531122703113321</t>
  </si>
  <si>
    <t>涂琴</t>
  </si>
  <si>
    <t>299420210531125551113361</t>
  </si>
  <si>
    <t>柯映妃</t>
  </si>
  <si>
    <t>299420210531131527113399</t>
  </si>
  <si>
    <t>周清青</t>
  </si>
  <si>
    <t>299420210531133723113430</t>
  </si>
  <si>
    <t>蔡飘飘</t>
  </si>
  <si>
    <t>299420210531152608113574</t>
  </si>
  <si>
    <t>易大安</t>
  </si>
  <si>
    <t>0201_小学语文岗位</t>
  </si>
  <si>
    <t>0202_小学数学岗位</t>
  </si>
  <si>
    <t>299420210525090048104239</t>
  </si>
  <si>
    <t>0203_小学英语岗位</t>
  </si>
  <si>
    <t>谢丹</t>
  </si>
  <si>
    <t>299420210525090112104241</t>
  </si>
  <si>
    <t>万怡倩</t>
  </si>
  <si>
    <t>299420210525090120104243</t>
  </si>
  <si>
    <t>陈婉茜</t>
  </si>
  <si>
    <t>299420210525090356104265</t>
  </si>
  <si>
    <t>符曼青</t>
  </si>
  <si>
    <t>299420210525090858104299</t>
  </si>
  <si>
    <t>周先丽</t>
  </si>
  <si>
    <t>299420210525091239104327</t>
  </si>
  <si>
    <t>黄倩怡</t>
  </si>
  <si>
    <t>299420210525091307104330</t>
  </si>
  <si>
    <t>陈美伶</t>
  </si>
  <si>
    <t>299420210525091311104331</t>
  </si>
  <si>
    <t>陈晨妍</t>
  </si>
  <si>
    <t>299420210525091412104335</t>
  </si>
  <si>
    <t>杜微</t>
  </si>
  <si>
    <t>299420210525092007104372</t>
  </si>
  <si>
    <t>张儒燕</t>
  </si>
  <si>
    <t>299420210525092117104379</t>
  </si>
  <si>
    <t>黎皖</t>
  </si>
  <si>
    <t>299420210525092141104383</t>
  </si>
  <si>
    <t>曾飞劲</t>
  </si>
  <si>
    <t>299420210525092532104403</t>
  </si>
  <si>
    <t>钟佳宸</t>
  </si>
  <si>
    <t>299420210525092540104404</t>
  </si>
  <si>
    <t>李菊花</t>
  </si>
  <si>
    <t>299420210525092756104415</t>
  </si>
  <si>
    <t>陈媛媛</t>
  </si>
  <si>
    <t>299420210525093159104431</t>
  </si>
  <si>
    <t>丁梦婷</t>
  </si>
  <si>
    <t>299420210525093328104441</t>
  </si>
  <si>
    <t>郑桦</t>
  </si>
  <si>
    <t>299420210525093454104449</t>
  </si>
  <si>
    <t>刘海秋</t>
  </si>
  <si>
    <t>299420210525093702104461</t>
  </si>
  <si>
    <t>程祎</t>
  </si>
  <si>
    <t>299420210525093858104477</t>
  </si>
  <si>
    <t>冯丽朱</t>
  </si>
  <si>
    <t>299420210525094142104487</t>
  </si>
  <si>
    <t>黄晓望</t>
  </si>
  <si>
    <t>299420210525094544104517</t>
  </si>
  <si>
    <t>颜丹丹</t>
  </si>
  <si>
    <t>299420210525094623104521</t>
  </si>
  <si>
    <t>王娟</t>
  </si>
  <si>
    <t>299420210525094642104527</t>
  </si>
  <si>
    <t>孙子雯</t>
  </si>
  <si>
    <t>299420210525095329104560</t>
  </si>
  <si>
    <t>吴舒雅</t>
  </si>
  <si>
    <t>299420210525095333104561</t>
  </si>
  <si>
    <t>王冬圆</t>
  </si>
  <si>
    <t>299420210525095511104574</t>
  </si>
  <si>
    <t>吴淑君</t>
  </si>
  <si>
    <t>299420210525100100104606</t>
  </si>
  <si>
    <t>吴刘蕊</t>
  </si>
  <si>
    <t>299420210525100429104620</t>
  </si>
  <si>
    <t>王绥薇</t>
  </si>
  <si>
    <t>299420210525101109104660</t>
  </si>
  <si>
    <t>蔡金桂</t>
  </si>
  <si>
    <t>299420210525101514104684</t>
  </si>
  <si>
    <t>蒋文秀</t>
  </si>
  <si>
    <t>299420210525102455104749</t>
  </si>
  <si>
    <t>吴海丽</t>
  </si>
  <si>
    <t>299420210525102522104753</t>
  </si>
  <si>
    <t>滕文文</t>
  </si>
  <si>
    <t>299420210525102652104772</t>
  </si>
  <si>
    <t>罗梅</t>
  </si>
  <si>
    <t>299420210525102904104784</t>
  </si>
  <si>
    <t>罗丁秀</t>
  </si>
  <si>
    <t>299420210525103106104799</t>
  </si>
  <si>
    <t>谢黄娇</t>
  </si>
  <si>
    <t>299420210525104006104865</t>
  </si>
  <si>
    <t>张楠</t>
  </si>
  <si>
    <t>299420210525104719104899</t>
  </si>
  <si>
    <t>饶敏</t>
  </si>
  <si>
    <t>299420210525104808104908</t>
  </si>
  <si>
    <t>陈元冰</t>
  </si>
  <si>
    <t>299420210525105028104920</t>
  </si>
  <si>
    <t>李蔓绮</t>
  </si>
  <si>
    <t>299420210525105133104924</t>
  </si>
  <si>
    <t>陈彩云</t>
  </si>
  <si>
    <t>299420210525105652104948</t>
  </si>
  <si>
    <t>占英兰</t>
  </si>
  <si>
    <t>299420210525105757104954</t>
  </si>
  <si>
    <t>苏娜</t>
  </si>
  <si>
    <t>299420210525110419104979</t>
  </si>
  <si>
    <t>麦树立</t>
  </si>
  <si>
    <t>299420210525110809104999</t>
  </si>
  <si>
    <t>胡书玲</t>
  </si>
  <si>
    <t>299420210525110959105005</t>
  </si>
  <si>
    <t>吴小双</t>
  </si>
  <si>
    <t>299420210525111227105022</t>
  </si>
  <si>
    <t>邓静</t>
  </si>
  <si>
    <t>299420210525111814105047</t>
  </si>
  <si>
    <t>苏小旋</t>
  </si>
  <si>
    <t>299420210525111903105050</t>
  </si>
  <si>
    <t>黄宝玉</t>
  </si>
  <si>
    <t>299420210525112137105066</t>
  </si>
  <si>
    <t>符朝惠</t>
  </si>
  <si>
    <t>299420210525112340105072</t>
  </si>
  <si>
    <t>黄萍</t>
  </si>
  <si>
    <t>299420210525112604105089</t>
  </si>
  <si>
    <t>冯娴恬</t>
  </si>
  <si>
    <t>299420210525113135105111</t>
  </si>
  <si>
    <t>王柳婷</t>
  </si>
  <si>
    <t>299420210525113806105134</t>
  </si>
  <si>
    <t>陈钰童</t>
  </si>
  <si>
    <t>299420210525114823105177</t>
  </si>
  <si>
    <t>麦挚</t>
  </si>
  <si>
    <t>299420210525115402105200</t>
  </si>
  <si>
    <t>吴彩虹</t>
  </si>
  <si>
    <t>299420210525115513105206</t>
  </si>
  <si>
    <t>冯文彬</t>
  </si>
  <si>
    <t>299420210525115905105222</t>
  </si>
  <si>
    <t>曾亚美</t>
  </si>
  <si>
    <t>299420210525115949105225</t>
  </si>
  <si>
    <t>沈金凤</t>
  </si>
  <si>
    <t>299420210525120120105233</t>
  </si>
  <si>
    <t>王桂平</t>
  </si>
  <si>
    <t>299420210525120920105261</t>
  </si>
  <si>
    <t>许碧慧</t>
  </si>
  <si>
    <t>299420210525121600105288</t>
  </si>
  <si>
    <t>姜姗姗</t>
  </si>
  <si>
    <t>299420210525123420105351</t>
  </si>
  <si>
    <t>黄如琼</t>
  </si>
  <si>
    <t>299420210525123555105356</t>
  </si>
  <si>
    <t>文怡</t>
  </si>
  <si>
    <t>299420210525124024105374</t>
  </si>
  <si>
    <t>彭夏芳</t>
  </si>
  <si>
    <t>299420210525124100105377</t>
  </si>
  <si>
    <t>陈宇新</t>
  </si>
  <si>
    <t>299420210525125744105433</t>
  </si>
  <si>
    <t>林婷</t>
  </si>
  <si>
    <t>299420210525130212105448</t>
  </si>
  <si>
    <t>黄思云</t>
  </si>
  <si>
    <t>299420210525131212105471</t>
  </si>
  <si>
    <t>文寒欢</t>
  </si>
  <si>
    <t>299420210525134258105529</t>
  </si>
  <si>
    <t>黄桂红</t>
  </si>
  <si>
    <t>299420210525141046105564</t>
  </si>
  <si>
    <t>章霖静</t>
  </si>
  <si>
    <t>299420210525142258105582</t>
  </si>
  <si>
    <t>张晶琴</t>
  </si>
  <si>
    <t>299420210525142741105591</t>
  </si>
  <si>
    <t>徐永玲</t>
  </si>
  <si>
    <t>299420210525144147105609</t>
  </si>
  <si>
    <t>杨裕丽</t>
  </si>
  <si>
    <t>299420210525144217105610</t>
  </si>
  <si>
    <t>洪舒</t>
  </si>
  <si>
    <t>299420210525144450105614</t>
  </si>
  <si>
    <t>王彬安</t>
  </si>
  <si>
    <t>299420210525144521105617</t>
  </si>
  <si>
    <t>彭冬岚</t>
  </si>
  <si>
    <t>299420210525144755105627</t>
  </si>
  <si>
    <t>任欣佳</t>
  </si>
  <si>
    <t>299420210525144807105628</t>
  </si>
  <si>
    <t>蒋思思</t>
  </si>
  <si>
    <t>299420210525150024105656</t>
  </si>
  <si>
    <t>陈慕珍</t>
  </si>
  <si>
    <t>299420210525150342105663</t>
  </si>
  <si>
    <t>王秋梅</t>
  </si>
  <si>
    <t>299420210525150356105665</t>
  </si>
  <si>
    <t>沈娇娜</t>
  </si>
  <si>
    <t>299420210525150831105675</t>
  </si>
  <si>
    <t>李洋墨</t>
  </si>
  <si>
    <t>299420210525151129105685</t>
  </si>
  <si>
    <t>张飔焱</t>
  </si>
  <si>
    <t>299420210525151345105696</t>
  </si>
  <si>
    <t>邱夏薇</t>
  </si>
  <si>
    <t>299420210525152019105715</t>
  </si>
  <si>
    <t>符莞莹</t>
  </si>
  <si>
    <t>299420210525152512105733</t>
  </si>
  <si>
    <t>马卓言</t>
  </si>
  <si>
    <t>299420210525152622105737</t>
  </si>
  <si>
    <t>吴钟恒</t>
  </si>
  <si>
    <t>299420210525153416105762</t>
  </si>
  <si>
    <t>李金霞</t>
  </si>
  <si>
    <t>299420210525153505105768</t>
  </si>
  <si>
    <t>林艳婕</t>
  </si>
  <si>
    <t>299420210525153843105779</t>
  </si>
  <si>
    <t>沈彩梦</t>
  </si>
  <si>
    <t>299420210525153904105782</t>
  </si>
  <si>
    <t>姜叶</t>
  </si>
  <si>
    <t>299420210525153941105785</t>
  </si>
  <si>
    <t>李海燕</t>
  </si>
  <si>
    <t>299420210525154255105795</t>
  </si>
  <si>
    <t>林青</t>
  </si>
  <si>
    <t>299420210525155248105827</t>
  </si>
  <si>
    <t>蔡月葵</t>
  </si>
  <si>
    <t>299420210525155429105831</t>
  </si>
  <si>
    <t>符芳虹</t>
  </si>
  <si>
    <t>299420210525155525105832</t>
  </si>
  <si>
    <t>王雪花</t>
  </si>
  <si>
    <t>299420210525155608105834</t>
  </si>
  <si>
    <t>苗文慧</t>
  </si>
  <si>
    <t>299420210525155830105841</t>
  </si>
  <si>
    <t>邢维娜</t>
  </si>
  <si>
    <t>299420210525160119105852</t>
  </si>
  <si>
    <t>韩琼琼</t>
  </si>
  <si>
    <t>299420210525160655105863</t>
  </si>
  <si>
    <t>韦温馨</t>
  </si>
  <si>
    <t>299420210525160752105872</t>
  </si>
  <si>
    <t>刘裕花</t>
  </si>
  <si>
    <t>299420210525161637105896</t>
  </si>
  <si>
    <t>袁聪</t>
  </si>
  <si>
    <t>299420210525162947105926</t>
  </si>
  <si>
    <t>符启娇</t>
  </si>
  <si>
    <t>299420210525163233105934</t>
  </si>
  <si>
    <t>洪娉婷</t>
  </si>
  <si>
    <t>299420210525163446105945</t>
  </si>
  <si>
    <t>歹雪</t>
  </si>
  <si>
    <t>299420210525164221105972</t>
  </si>
  <si>
    <t>唐心苗</t>
  </si>
  <si>
    <t>299420210525170011106014</t>
  </si>
  <si>
    <t>王月</t>
  </si>
  <si>
    <t>299420210525170652106029</t>
  </si>
  <si>
    <t>林书绰</t>
  </si>
  <si>
    <t>299420210525172305106060</t>
  </si>
  <si>
    <t>薛海岩</t>
  </si>
  <si>
    <t>299420210525172610106065</t>
  </si>
  <si>
    <t>梁英南</t>
  </si>
  <si>
    <t>299420210525172953106072</t>
  </si>
  <si>
    <t>王舒颖</t>
  </si>
  <si>
    <t>299420210525174659106117</t>
  </si>
  <si>
    <t>邓小凤</t>
  </si>
  <si>
    <t>299420210525174742106118</t>
  </si>
  <si>
    <t>关凯尹</t>
  </si>
  <si>
    <t>299420210525175957106143</t>
  </si>
  <si>
    <t>欧路芳</t>
  </si>
  <si>
    <t>299420210525180620106162</t>
  </si>
  <si>
    <t>韩璎</t>
  </si>
  <si>
    <t>299420210525181509106175</t>
  </si>
  <si>
    <t>299420210525183149106216</t>
  </si>
  <si>
    <t>黄海慧</t>
  </si>
  <si>
    <t>299420210525183348106222</t>
  </si>
  <si>
    <t>吴丽梦</t>
  </si>
  <si>
    <t>299420210525184748106256</t>
  </si>
  <si>
    <t>吴梦怡</t>
  </si>
  <si>
    <t>299420210525191823106311</t>
  </si>
  <si>
    <t>邢福锦</t>
  </si>
  <si>
    <t>299420210525192220106321</t>
  </si>
  <si>
    <t>韦晓羽</t>
  </si>
  <si>
    <t>299420210525193151106347</t>
  </si>
  <si>
    <t>陈益竹</t>
  </si>
  <si>
    <t>299420210525193756106366</t>
  </si>
  <si>
    <t>邢雪喜</t>
  </si>
  <si>
    <t>299420210525194721106383</t>
  </si>
  <si>
    <t>曾黛</t>
  </si>
  <si>
    <t>299420210525194748106385</t>
  </si>
  <si>
    <t>叶钰珊</t>
  </si>
  <si>
    <t>299420210525195700106412</t>
  </si>
  <si>
    <t>黄燕玉</t>
  </si>
  <si>
    <t>299420210525200215106427</t>
  </si>
  <si>
    <t>梁彩燕</t>
  </si>
  <si>
    <t>299420210525200442106432</t>
  </si>
  <si>
    <t>苏肖育</t>
  </si>
  <si>
    <t>299420210525201029106441</t>
  </si>
  <si>
    <t>李娜</t>
  </si>
  <si>
    <t>299420210525201651106453</t>
  </si>
  <si>
    <t>王燕</t>
  </si>
  <si>
    <t>299420210525203151106496</t>
  </si>
  <si>
    <t>方菲</t>
  </si>
  <si>
    <t>299420210525203253106502</t>
  </si>
  <si>
    <t>梁真芸</t>
  </si>
  <si>
    <t>299420210525203331106504</t>
  </si>
  <si>
    <t>宋春玮</t>
  </si>
  <si>
    <t>299420210525203434106508</t>
  </si>
  <si>
    <t>吴多珍</t>
  </si>
  <si>
    <t>299420210525210213106557</t>
  </si>
  <si>
    <t>张小莉</t>
  </si>
  <si>
    <t>299420210525211129106573</t>
  </si>
  <si>
    <t>马美丽</t>
  </si>
  <si>
    <t>299420210525211632106587</t>
  </si>
  <si>
    <t>杜才凤</t>
  </si>
  <si>
    <t>299420210525211731106592</t>
  </si>
  <si>
    <t>冯锦鸯</t>
  </si>
  <si>
    <t>299420210525212241106606</t>
  </si>
  <si>
    <t>李静</t>
  </si>
  <si>
    <t>299420210525214103106656</t>
  </si>
  <si>
    <t>潘宏</t>
  </si>
  <si>
    <t>299420210525214327106660</t>
  </si>
  <si>
    <t>陈瑞玲</t>
  </si>
  <si>
    <t>299420210525214623106668</t>
  </si>
  <si>
    <t>邱菊</t>
  </si>
  <si>
    <t>299420210525215042106677</t>
  </si>
  <si>
    <t>郑丹妹</t>
  </si>
  <si>
    <t>299420210525215224106680</t>
  </si>
  <si>
    <t>冯小娇</t>
  </si>
  <si>
    <t>299420210525215349106684</t>
  </si>
  <si>
    <t>林大斯</t>
  </si>
  <si>
    <t>299420210525220912106716</t>
  </si>
  <si>
    <t>吴小容</t>
  </si>
  <si>
    <t>299420210525221933106736</t>
  </si>
  <si>
    <t>王雪怡</t>
  </si>
  <si>
    <t>299420210525222448106749</t>
  </si>
  <si>
    <t>吴京娇</t>
  </si>
  <si>
    <t>299420210525223057106765</t>
  </si>
  <si>
    <t>羊惠榕</t>
  </si>
  <si>
    <t>299420210525223705106776</t>
  </si>
  <si>
    <t>陈湘琴</t>
  </si>
  <si>
    <t>299420210525223827106780</t>
  </si>
  <si>
    <t>邱庆烨</t>
  </si>
  <si>
    <t>299420210525235118106895</t>
  </si>
  <si>
    <t>李玉民</t>
  </si>
  <si>
    <t>299420210525235654106901</t>
  </si>
  <si>
    <t>张友娥</t>
  </si>
  <si>
    <t>299420210526001347106916</t>
  </si>
  <si>
    <t>戴榕</t>
  </si>
  <si>
    <t>299420210526003607106927</t>
  </si>
  <si>
    <t>陈颖</t>
  </si>
  <si>
    <t>299420210526005235106933</t>
  </si>
  <si>
    <t>韩莎</t>
  </si>
  <si>
    <t>299420210526074152106961</t>
  </si>
  <si>
    <t>陈小小</t>
  </si>
  <si>
    <t>299420210526080405106980</t>
  </si>
  <si>
    <t>吴坤芳</t>
  </si>
  <si>
    <t>299420210526081731106995</t>
  </si>
  <si>
    <t>符梅丽</t>
  </si>
  <si>
    <t>299420210526082518107000</t>
  </si>
  <si>
    <t>田慧</t>
  </si>
  <si>
    <t>299420210526082558107001</t>
  </si>
  <si>
    <t>肖艳</t>
  </si>
  <si>
    <t>299420210526083201107012</t>
  </si>
  <si>
    <t>唐琳琳</t>
  </si>
  <si>
    <t>299420210526084231107026</t>
  </si>
  <si>
    <t>蔡汝娜</t>
  </si>
  <si>
    <t>299420210526084355107029</t>
  </si>
  <si>
    <t>钟静珍</t>
  </si>
  <si>
    <t>299420210526084822107036</t>
  </si>
  <si>
    <t>杜奇思</t>
  </si>
  <si>
    <t>299420210526084939107042</t>
  </si>
  <si>
    <t>陈春</t>
  </si>
  <si>
    <t>299420210526085354107049</t>
  </si>
  <si>
    <t>韩博</t>
  </si>
  <si>
    <t>299420210526085837107056</t>
  </si>
  <si>
    <t>陈艳</t>
  </si>
  <si>
    <t>299420210526091128107074</t>
  </si>
  <si>
    <t>陈启霞</t>
  </si>
  <si>
    <t>299420210526091148107076</t>
  </si>
  <si>
    <t>赵恒艺</t>
  </si>
  <si>
    <t>299420210526091351107080</t>
  </si>
  <si>
    <t>文坤婧</t>
  </si>
  <si>
    <t>299420210526091422107083</t>
  </si>
  <si>
    <t>卫光翠</t>
  </si>
  <si>
    <t>299420210526091812107096</t>
  </si>
  <si>
    <t>李东洋</t>
  </si>
  <si>
    <t>299420210526092805107118</t>
  </si>
  <si>
    <t>王春琴</t>
  </si>
  <si>
    <t>299420210526093059107127</t>
  </si>
  <si>
    <t>孙丽云</t>
  </si>
  <si>
    <t>299420210526093914107140</t>
  </si>
  <si>
    <t>张晓旭</t>
  </si>
  <si>
    <t>299420210526093931107144</t>
  </si>
  <si>
    <t>王夏盈</t>
  </si>
  <si>
    <t>299420210526094218107155</t>
  </si>
  <si>
    <t>陈丽萍</t>
  </si>
  <si>
    <t>299420210526100120107196</t>
  </si>
  <si>
    <t>柯娟</t>
  </si>
  <si>
    <t>299420210526101348107232</t>
  </si>
  <si>
    <t>黎娟妹</t>
  </si>
  <si>
    <t>299420210526101435107235</t>
  </si>
  <si>
    <t>林超</t>
  </si>
  <si>
    <t>299420210526101634107239</t>
  </si>
  <si>
    <t>胡慧婷</t>
  </si>
  <si>
    <t>299420210526103221107286</t>
  </si>
  <si>
    <t>张露之</t>
  </si>
  <si>
    <t>299420210526105317107333</t>
  </si>
  <si>
    <t>莫春梅</t>
  </si>
  <si>
    <t>299420210526105801107346</t>
  </si>
  <si>
    <t>郭义惠</t>
  </si>
  <si>
    <t>299420210526105847107349</t>
  </si>
  <si>
    <t>张汉娇</t>
  </si>
  <si>
    <t>299420210526110855107373</t>
  </si>
  <si>
    <t>何娇</t>
  </si>
  <si>
    <t>299420210526111545107386</t>
  </si>
  <si>
    <t>华雨薇</t>
  </si>
  <si>
    <t>299420210526111754107390</t>
  </si>
  <si>
    <t>吴彩霞</t>
  </si>
  <si>
    <t>299420210526111755107391</t>
  </si>
  <si>
    <t>吴玉霞</t>
  </si>
  <si>
    <t>299420210526112011107396</t>
  </si>
  <si>
    <t>杨明旭</t>
  </si>
  <si>
    <t>299420210526112203107398</t>
  </si>
  <si>
    <t>吴惠平</t>
  </si>
  <si>
    <t>299420210526115832107466</t>
  </si>
  <si>
    <t>朱贵乔</t>
  </si>
  <si>
    <t>299420210526122439107511</t>
  </si>
  <si>
    <t>吴海荣</t>
  </si>
  <si>
    <t>299420210526123252107529</t>
  </si>
  <si>
    <t>王艺慧</t>
  </si>
  <si>
    <t>299420210526124221107554</t>
  </si>
  <si>
    <t>陈秀萍</t>
  </si>
  <si>
    <t>299420210526124625107566</t>
  </si>
  <si>
    <t>何婧怡</t>
  </si>
  <si>
    <t>299420210526125442107591</t>
  </si>
  <si>
    <t>梁晶玉</t>
  </si>
  <si>
    <t>299420210526125753107599</t>
  </si>
  <si>
    <t>谢小静</t>
  </si>
  <si>
    <t>299420210526130003107607</t>
  </si>
  <si>
    <t>冯志冲</t>
  </si>
  <si>
    <t>299420210526130415107619</t>
  </si>
  <si>
    <t>邱春汝</t>
  </si>
  <si>
    <t>299420210526132302107638</t>
  </si>
  <si>
    <t>杨钰琦</t>
  </si>
  <si>
    <t>299420210526133729107651</t>
  </si>
  <si>
    <t>孙雪莹</t>
  </si>
  <si>
    <t>299420210526141119107669</t>
  </si>
  <si>
    <t>张晓婷</t>
  </si>
  <si>
    <t>299420210526144559107701</t>
  </si>
  <si>
    <t>吴金丹</t>
  </si>
  <si>
    <t>299420210526145005107709</t>
  </si>
  <si>
    <t>王英秀</t>
  </si>
  <si>
    <t>299420210526145935107729</t>
  </si>
  <si>
    <t>汪鑫宏</t>
  </si>
  <si>
    <t>299420210526150731107742</t>
  </si>
  <si>
    <t>廖鑫</t>
  </si>
  <si>
    <t>299420210526150749107743</t>
  </si>
  <si>
    <t>苏丽芳</t>
  </si>
  <si>
    <t>299420210526150930107748</t>
  </si>
  <si>
    <t>李妮</t>
  </si>
  <si>
    <t>299420210526150931107749</t>
  </si>
  <si>
    <t>王琴</t>
  </si>
  <si>
    <t>299420210526151025107753</t>
  </si>
  <si>
    <t>陈少娥</t>
  </si>
  <si>
    <t>299420210526151811107770</t>
  </si>
  <si>
    <t>王菲</t>
  </si>
  <si>
    <t>299420210526153837107802</t>
  </si>
  <si>
    <t>纪小丽</t>
  </si>
  <si>
    <t>299420210526154319107814</t>
  </si>
  <si>
    <t>陈慧</t>
  </si>
  <si>
    <t>299420210526154802107820</t>
  </si>
  <si>
    <t>魏诗琪</t>
  </si>
  <si>
    <t>299420210526155755107848</t>
  </si>
  <si>
    <t>郑东娜</t>
  </si>
  <si>
    <t>299420210526160637107869</t>
  </si>
  <si>
    <t>何安</t>
  </si>
  <si>
    <t>299420210526160713107872</t>
  </si>
  <si>
    <t>王慧珠</t>
  </si>
  <si>
    <t>299420210526160721107874</t>
  </si>
  <si>
    <t>林声芳</t>
  </si>
  <si>
    <t>299420210526161702107893</t>
  </si>
  <si>
    <t>符海冬</t>
  </si>
  <si>
    <t>299420210526162305107906</t>
  </si>
  <si>
    <t>李晓静</t>
  </si>
  <si>
    <t>299420210526165552107966</t>
  </si>
  <si>
    <t>杨珍</t>
  </si>
  <si>
    <t>299420210526165657107970</t>
  </si>
  <si>
    <t>邢增汝</t>
  </si>
  <si>
    <t>299420210526165815107973</t>
  </si>
  <si>
    <t>陆柏而</t>
  </si>
  <si>
    <t>299420210526172531108019</t>
  </si>
  <si>
    <t>岳园园</t>
  </si>
  <si>
    <t>299420210526180629108086</t>
  </si>
  <si>
    <t>卢兰珍</t>
  </si>
  <si>
    <t>299420210526180729108088</t>
  </si>
  <si>
    <t>陈美惠紫</t>
  </si>
  <si>
    <t>299420210526182416108120</t>
  </si>
  <si>
    <t>黄向</t>
  </si>
  <si>
    <t>299420210526183251108133</t>
  </si>
  <si>
    <t>陈婧</t>
  </si>
  <si>
    <t>299420210526183359108134</t>
  </si>
  <si>
    <t>符晓丹</t>
  </si>
  <si>
    <t>299420210526184235108151</t>
  </si>
  <si>
    <t>李菁</t>
  </si>
  <si>
    <t>299420210526184631108161</t>
  </si>
  <si>
    <t>翁娇丽</t>
  </si>
  <si>
    <t>299420210526191151108195</t>
  </si>
  <si>
    <t>蔡春霞</t>
  </si>
  <si>
    <t>299420210526192116108214</t>
  </si>
  <si>
    <t>张君颜</t>
  </si>
  <si>
    <t>299420210526194041108245</t>
  </si>
  <si>
    <t>栗珊</t>
  </si>
  <si>
    <t>299420210526195535108272</t>
  </si>
  <si>
    <t>翁小莉</t>
  </si>
  <si>
    <t>299420210526200323108287</t>
  </si>
  <si>
    <t>冯小红</t>
  </si>
  <si>
    <t>299420210526202210108323</t>
  </si>
  <si>
    <t>谭杨子</t>
  </si>
  <si>
    <t>299420210526202956108336</t>
  </si>
  <si>
    <t>吴海迷</t>
  </si>
  <si>
    <t>299420210526203245108342</t>
  </si>
  <si>
    <t>巫珊珊</t>
  </si>
  <si>
    <t>299420210526203655108349</t>
  </si>
  <si>
    <t>张雷阳</t>
  </si>
  <si>
    <t>299420210526203919108353</t>
  </si>
  <si>
    <t>方俪颖</t>
  </si>
  <si>
    <t>299420210526204351108365</t>
  </si>
  <si>
    <t>冯海颜</t>
  </si>
  <si>
    <t>299420210526205248108380</t>
  </si>
  <si>
    <t>吴月</t>
  </si>
  <si>
    <t>299420210526210316108399</t>
  </si>
  <si>
    <t>邓斯敏</t>
  </si>
  <si>
    <t>299420210526210339108402</t>
  </si>
  <si>
    <t>罗欣</t>
  </si>
  <si>
    <t>299420210526212407108454</t>
  </si>
  <si>
    <t>彭慧</t>
  </si>
  <si>
    <t>299420210526212816108462</t>
  </si>
  <si>
    <t>黄转</t>
  </si>
  <si>
    <t>299420210526213034108465</t>
  </si>
  <si>
    <t>苏香苑</t>
  </si>
  <si>
    <t>299420210526215155108511</t>
  </si>
  <si>
    <t>戴王薇</t>
  </si>
  <si>
    <t>299420210526215236108513</t>
  </si>
  <si>
    <t>郑梅娃</t>
  </si>
  <si>
    <t>299420210526215633108523</t>
  </si>
  <si>
    <t>陈少英</t>
  </si>
  <si>
    <t>299420210526215921108528</t>
  </si>
  <si>
    <t>黄子慧</t>
  </si>
  <si>
    <t>299420210526220400108541</t>
  </si>
  <si>
    <t>冼慧敏</t>
  </si>
  <si>
    <t>299420210526220859108556</t>
  </si>
  <si>
    <t>299420210526221425108576</t>
  </si>
  <si>
    <t>黄瑶瑶</t>
  </si>
  <si>
    <t>299420210526225030108647</t>
  </si>
  <si>
    <t>邓莎</t>
  </si>
  <si>
    <t>299420210526230019108659</t>
  </si>
  <si>
    <t>林晶晶</t>
  </si>
  <si>
    <t>299420210526230245108665</t>
  </si>
  <si>
    <t>云玲茜</t>
  </si>
  <si>
    <t>299420210526231521108680</t>
  </si>
  <si>
    <t>王必</t>
  </si>
  <si>
    <t>299420210526232112108687</t>
  </si>
  <si>
    <t>徐文玲</t>
  </si>
  <si>
    <t>299420210526232211108691</t>
  </si>
  <si>
    <t>李吉恋</t>
  </si>
  <si>
    <t>299420210526233050108702</t>
  </si>
  <si>
    <t>赵南雁</t>
  </si>
  <si>
    <t>299420210526234824108723</t>
  </si>
  <si>
    <t>王文河</t>
  </si>
  <si>
    <t>299420210527004445108762</t>
  </si>
  <si>
    <t>吉才映</t>
  </si>
  <si>
    <t>299420210527005409108765</t>
  </si>
  <si>
    <t>马小燕</t>
  </si>
  <si>
    <t>299420210527060145108789</t>
  </si>
  <si>
    <t>吴柳铮</t>
  </si>
  <si>
    <t>299420210527072839108806</t>
  </si>
  <si>
    <t>王宇</t>
  </si>
  <si>
    <t>299420210527080026108819</t>
  </si>
  <si>
    <t>吴开财</t>
  </si>
  <si>
    <t>299420210527083810108852</t>
  </si>
  <si>
    <t>胡丽美</t>
  </si>
  <si>
    <t>299420210527084122108859</t>
  </si>
  <si>
    <t>叶星余</t>
  </si>
  <si>
    <t>299420210527085055108868</t>
  </si>
  <si>
    <t>张琼</t>
  </si>
  <si>
    <t>299420210527090142108890</t>
  </si>
  <si>
    <t>李祝秀</t>
  </si>
  <si>
    <t>299420210527091057108901</t>
  </si>
  <si>
    <t>钟尊丽</t>
  </si>
  <si>
    <t>299420210527091105108902</t>
  </si>
  <si>
    <t>陈睿金</t>
  </si>
  <si>
    <t>299420210527092057108912</t>
  </si>
  <si>
    <t>吴妹</t>
  </si>
  <si>
    <t>299420210527092111108913</t>
  </si>
  <si>
    <t>曾雪敏</t>
  </si>
  <si>
    <t>299420210527092130108914</t>
  </si>
  <si>
    <t>朱柳芳</t>
  </si>
  <si>
    <t>299420210527092216108916</t>
  </si>
  <si>
    <t>陈蝶</t>
  </si>
  <si>
    <t>299420210527094029108951</t>
  </si>
  <si>
    <t>王芳芳</t>
  </si>
  <si>
    <t>299420210527095506108973</t>
  </si>
  <si>
    <t>杜婷</t>
  </si>
  <si>
    <t>299420210527095842108980</t>
  </si>
  <si>
    <t>李绘</t>
  </si>
  <si>
    <t>299420210527095935108983</t>
  </si>
  <si>
    <t>何潮潮</t>
  </si>
  <si>
    <t>299420210527100106108987</t>
  </si>
  <si>
    <t>刘易菲</t>
  </si>
  <si>
    <t>299420210527100713109006</t>
  </si>
  <si>
    <t>邓云</t>
  </si>
  <si>
    <t>299420210527102004109033</t>
  </si>
  <si>
    <t>吴珍</t>
  </si>
  <si>
    <t>299420210527102222109037</t>
  </si>
  <si>
    <t>郑婷</t>
  </si>
  <si>
    <t>299420210527102943109053</t>
  </si>
  <si>
    <t>陈会</t>
  </si>
  <si>
    <t>299420210527104149109073</t>
  </si>
  <si>
    <t>符丽萍</t>
  </si>
  <si>
    <t>299420210527105511109100</t>
  </si>
  <si>
    <t>299420210527110438109116</t>
  </si>
  <si>
    <t>张晓翠</t>
  </si>
  <si>
    <t>299420210527110906109127</t>
  </si>
  <si>
    <t>闫红艳</t>
  </si>
  <si>
    <t>299420210527111342109133</t>
  </si>
  <si>
    <t>张建萍</t>
  </si>
  <si>
    <t>299420210527115047109188</t>
  </si>
  <si>
    <t>彭兰喜</t>
  </si>
  <si>
    <t>299420210527121500109205</t>
  </si>
  <si>
    <t>王丽聪</t>
  </si>
  <si>
    <t>299420210527122321109215</t>
  </si>
  <si>
    <t>冯世坤</t>
  </si>
  <si>
    <t>299420210527123552109238</t>
  </si>
  <si>
    <t>王丹</t>
  </si>
  <si>
    <t>299420210527123846109247</t>
  </si>
  <si>
    <t>王梦婕</t>
  </si>
  <si>
    <t>299420210527123937109249</t>
  </si>
  <si>
    <t>洪音惠</t>
  </si>
  <si>
    <t>299420210527125153109263</t>
  </si>
  <si>
    <t>林燕燕</t>
  </si>
  <si>
    <t>299420210527125752109273</t>
  </si>
  <si>
    <t>彭秋美</t>
  </si>
  <si>
    <t>299420210527125906109276</t>
  </si>
  <si>
    <t>孙小凤</t>
  </si>
  <si>
    <t>299420210527130531109288</t>
  </si>
  <si>
    <t>冯玉红</t>
  </si>
  <si>
    <t>299420210527131042109294</t>
  </si>
  <si>
    <t>韦绕选</t>
  </si>
  <si>
    <t>299420210527143731109372</t>
  </si>
  <si>
    <t>王芳惠子</t>
  </si>
  <si>
    <t>299420210527145804109402</t>
  </si>
  <si>
    <t>李斌</t>
  </si>
  <si>
    <t>299420210527154321109478</t>
  </si>
  <si>
    <t>王小妹</t>
  </si>
  <si>
    <t>299420210527154507109483</t>
  </si>
  <si>
    <t>陈佳慧</t>
  </si>
  <si>
    <t>299420210527161627109546</t>
  </si>
  <si>
    <t>吴淑果</t>
  </si>
  <si>
    <t>299420210527162058109554</t>
  </si>
  <si>
    <t>符巧羽</t>
  </si>
  <si>
    <t>299420210527164948109612</t>
  </si>
  <si>
    <t>关远琴</t>
  </si>
  <si>
    <t>299420210527165106109614</t>
  </si>
  <si>
    <t>刘柳琴</t>
  </si>
  <si>
    <t>299420210527165154109615</t>
  </si>
  <si>
    <t>谢彬彬</t>
  </si>
  <si>
    <t>299420210527165642109627</t>
  </si>
  <si>
    <t>覃荣艳</t>
  </si>
  <si>
    <t>299420210527165718109630</t>
  </si>
  <si>
    <t>林芳君</t>
  </si>
  <si>
    <t>299420210527170946109654</t>
  </si>
  <si>
    <t>谭静</t>
  </si>
  <si>
    <t>299420210527171230109658</t>
  </si>
  <si>
    <t>林子靖</t>
  </si>
  <si>
    <t>299420210527172857109678</t>
  </si>
  <si>
    <t>冯茵</t>
  </si>
  <si>
    <t>299420210527174845109702</t>
  </si>
  <si>
    <t>戚瑞倩</t>
  </si>
  <si>
    <t>299420210527183227109755</t>
  </si>
  <si>
    <t>刘咪雪</t>
  </si>
  <si>
    <t>299420210527185547109785</t>
  </si>
  <si>
    <t>邱小云</t>
  </si>
  <si>
    <t>299420210527192220109804</t>
  </si>
  <si>
    <t>吴金琼</t>
  </si>
  <si>
    <t>299420210527192222109805</t>
  </si>
  <si>
    <t>陈漾</t>
  </si>
  <si>
    <t>299420210527194106109832</t>
  </si>
  <si>
    <t>郑福丹</t>
  </si>
  <si>
    <t>299420210527201028109867</t>
  </si>
  <si>
    <t>吴小文</t>
  </si>
  <si>
    <t>299420210527202238109877</t>
  </si>
  <si>
    <t>海若诗</t>
  </si>
  <si>
    <t>299420210527203635109896</t>
  </si>
  <si>
    <t>潘甫虹</t>
  </si>
  <si>
    <t>299420210527204037109905</t>
  </si>
  <si>
    <t>蒋婉婷</t>
  </si>
  <si>
    <t>299420210527204710109912</t>
  </si>
  <si>
    <t>李健衡</t>
  </si>
  <si>
    <t>299420210527205609109929</t>
  </si>
  <si>
    <t>温淑汝</t>
  </si>
  <si>
    <t>299420210527205834109937</t>
  </si>
  <si>
    <t>陈壮</t>
  </si>
  <si>
    <t>299420210527211444109957</t>
  </si>
  <si>
    <t>姚虹妃</t>
  </si>
  <si>
    <t>299420210527211707109963</t>
  </si>
  <si>
    <t>梁凡</t>
  </si>
  <si>
    <t>299420210527214307109989</t>
  </si>
  <si>
    <t>何莹</t>
  </si>
  <si>
    <t>299420210527214552109992</t>
  </si>
  <si>
    <t>陈延玉</t>
  </si>
  <si>
    <t>299420210527221601110035</t>
  </si>
  <si>
    <t>吴英莹</t>
  </si>
  <si>
    <t>299420210527224846110083</t>
  </si>
  <si>
    <t>袁铭阳</t>
  </si>
  <si>
    <t>299420210527225726110098</t>
  </si>
  <si>
    <t>周莉</t>
  </si>
  <si>
    <t>299420210527230124110105</t>
  </si>
  <si>
    <t>陈妮</t>
  </si>
  <si>
    <t>299420210527231517110119</t>
  </si>
  <si>
    <t>冯玉华</t>
  </si>
  <si>
    <t>299420210527232940110131</t>
  </si>
  <si>
    <t>吴英蓉</t>
  </si>
  <si>
    <t>299420210527233136110132</t>
  </si>
  <si>
    <t>郭维花</t>
  </si>
  <si>
    <t>299420210528002805110167</t>
  </si>
  <si>
    <t>陈思娴</t>
  </si>
  <si>
    <t>299420210528081118110200</t>
  </si>
  <si>
    <t>王芳</t>
  </si>
  <si>
    <t>299420210528081617110204</t>
  </si>
  <si>
    <t>郑三妹</t>
  </si>
  <si>
    <t>299420210528090637110260</t>
  </si>
  <si>
    <t>文苹妃</t>
  </si>
  <si>
    <t>299420210528090811110263</t>
  </si>
  <si>
    <t>符博秀</t>
  </si>
  <si>
    <t>299420210528091159110272</t>
  </si>
  <si>
    <t>林彦</t>
  </si>
  <si>
    <t>299420210528092601110296</t>
  </si>
  <si>
    <t>谢利香</t>
  </si>
  <si>
    <t>299420210528093622110315</t>
  </si>
  <si>
    <t>韦伊敏</t>
  </si>
  <si>
    <t>299420210528093928110322</t>
  </si>
  <si>
    <t>韦小恋</t>
  </si>
  <si>
    <t>299420210528094441110336</t>
  </si>
  <si>
    <t>陈珊珊</t>
  </si>
  <si>
    <t>299420210528095106110347</t>
  </si>
  <si>
    <t>吴珠璎</t>
  </si>
  <si>
    <t>299420210528102708110412</t>
  </si>
  <si>
    <t>李天香</t>
  </si>
  <si>
    <t>299420210528102913110416</t>
  </si>
  <si>
    <t>杨玉琳</t>
  </si>
  <si>
    <t>299420210528104414110444</t>
  </si>
  <si>
    <t>苏天玉</t>
  </si>
  <si>
    <t>299420210528110453110489</t>
  </si>
  <si>
    <t>符少慧</t>
  </si>
  <si>
    <t>299420210528110903110498</t>
  </si>
  <si>
    <t>曾丽丽</t>
  </si>
  <si>
    <t>299420210528111215110506</t>
  </si>
  <si>
    <t>黄祖贤</t>
  </si>
  <si>
    <t>299420210528111245110507</t>
  </si>
  <si>
    <t>陈海芳</t>
  </si>
  <si>
    <t>299420210528114340110547</t>
  </si>
  <si>
    <t>黄肖婷</t>
  </si>
  <si>
    <t>299420210528115512110561</t>
  </si>
  <si>
    <t>299420210528124602110630</t>
  </si>
  <si>
    <t>邝晓惠</t>
  </si>
  <si>
    <t>299420210528125650110647</t>
  </si>
  <si>
    <t>孙宇</t>
  </si>
  <si>
    <t>299420210528130431110662</t>
  </si>
  <si>
    <t>张可欣</t>
  </si>
  <si>
    <t>299420210528130449110663</t>
  </si>
  <si>
    <t>299420210528130540110665</t>
  </si>
  <si>
    <t>何丽爱</t>
  </si>
  <si>
    <t>299420210528131236110676</t>
  </si>
  <si>
    <t>曾倩倩</t>
  </si>
  <si>
    <t>299420210528134013110717</t>
  </si>
  <si>
    <t>康兆新</t>
  </si>
  <si>
    <t>299420210528145913110809</t>
  </si>
  <si>
    <t>王萃逢</t>
  </si>
  <si>
    <t>299420210528150410110814</t>
  </si>
  <si>
    <t>李如玉</t>
  </si>
  <si>
    <t>299420210528150727110819</t>
  </si>
  <si>
    <t>苏桂英</t>
  </si>
  <si>
    <t>299420210528153027110855</t>
  </si>
  <si>
    <t>庄兀</t>
  </si>
  <si>
    <t>299420210528154611110882</t>
  </si>
  <si>
    <t>符家芳</t>
  </si>
  <si>
    <t>299420210528155211110892</t>
  </si>
  <si>
    <t>吴华贵</t>
  </si>
  <si>
    <t>299420210528161632110925</t>
  </si>
  <si>
    <t>王海玲</t>
  </si>
  <si>
    <t>299420210528162545110934</t>
  </si>
  <si>
    <t>杨思婷</t>
  </si>
  <si>
    <t>299420210528163233110954</t>
  </si>
  <si>
    <t>孙星</t>
  </si>
  <si>
    <t>299420210528163342110957</t>
  </si>
  <si>
    <t>宋颖</t>
  </si>
  <si>
    <t>299420210528164235110968</t>
  </si>
  <si>
    <t>王小月</t>
  </si>
  <si>
    <t>299420210528164334110972</t>
  </si>
  <si>
    <t>吴青铃</t>
  </si>
  <si>
    <t>299420210528174100111043</t>
  </si>
  <si>
    <t>张亚丹</t>
  </si>
  <si>
    <t>299420210528174345111045</t>
  </si>
  <si>
    <t>陈焕敏</t>
  </si>
  <si>
    <t>299420210528174459111049</t>
  </si>
  <si>
    <t>王华珍</t>
  </si>
  <si>
    <t>299420210528180040111070</t>
  </si>
  <si>
    <t>黄茹</t>
  </si>
  <si>
    <t>299420210528181213111085</t>
  </si>
  <si>
    <t>韦选金</t>
  </si>
  <si>
    <t>299420210528181928111098</t>
  </si>
  <si>
    <t>麦茹巾</t>
  </si>
  <si>
    <t>299420210528183847111109</t>
  </si>
  <si>
    <t>299420210528190650111140</t>
  </si>
  <si>
    <t>周梦怡</t>
  </si>
  <si>
    <t>299420210528190922111143</t>
  </si>
  <si>
    <t>王慧</t>
  </si>
  <si>
    <t>299420210528194020111170</t>
  </si>
  <si>
    <t>蔡玉婵</t>
  </si>
  <si>
    <t>299420210528202828111206</t>
  </si>
  <si>
    <t>桂小孟</t>
  </si>
  <si>
    <t>299420210528204152111217</t>
  </si>
  <si>
    <t>李定霞</t>
  </si>
  <si>
    <t>299420210528211456111247</t>
  </si>
  <si>
    <t>郝擎宇</t>
  </si>
  <si>
    <t>299420210528214636111275</t>
  </si>
  <si>
    <t>何蕾蕾</t>
  </si>
  <si>
    <t>299420210528222550111315</t>
  </si>
  <si>
    <t>谢黄芳</t>
  </si>
  <si>
    <t>299420210528232251111357</t>
  </si>
  <si>
    <t>卢婷</t>
  </si>
  <si>
    <t>299420210528233303111361</t>
  </si>
  <si>
    <t>任雅男</t>
  </si>
  <si>
    <t>299420210528234346111367</t>
  </si>
  <si>
    <t>罗婷</t>
  </si>
  <si>
    <t>299420210529064426111402</t>
  </si>
  <si>
    <t>李秋</t>
  </si>
  <si>
    <t>299420210529090055111434</t>
  </si>
  <si>
    <t>吴春琴</t>
  </si>
  <si>
    <t>299420210529093240111443</t>
  </si>
  <si>
    <t>黄曼虹</t>
  </si>
  <si>
    <t>299420210529101240111472</t>
  </si>
  <si>
    <t>王玉清</t>
  </si>
  <si>
    <t>299420210529104733111514</t>
  </si>
  <si>
    <t>陈红荣</t>
  </si>
  <si>
    <t>299420210529111618111540</t>
  </si>
  <si>
    <t>陈咪咪</t>
  </si>
  <si>
    <t>299420210529112329111552</t>
  </si>
  <si>
    <t>祁新轻</t>
  </si>
  <si>
    <t>299420210529113125111560</t>
  </si>
  <si>
    <t>李瑜</t>
  </si>
  <si>
    <t>299420210529113741111567</t>
  </si>
  <si>
    <t>王梦思</t>
  </si>
  <si>
    <t>299420210529114923111583</t>
  </si>
  <si>
    <t>符丹凤</t>
  </si>
  <si>
    <t>299420210529125517111620</t>
  </si>
  <si>
    <t>王娜</t>
  </si>
  <si>
    <t>299420210529131400111639</t>
  </si>
  <si>
    <t>龙登玲</t>
  </si>
  <si>
    <t>299420210529134150111658</t>
  </si>
  <si>
    <t>王琼娇</t>
  </si>
  <si>
    <t>299420210529150042111694</t>
  </si>
  <si>
    <t>陈文萃</t>
  </si>
  <si>
    <t>299420210529150154111695</t>
  </si>
  <si>
    <t>黄丽娇</t>
  </si>
  <si>
    <t>299420210529153345111718</t>
  </si>
  <si>
    <t>谢媛媛</t>
  </si>
  <si>
    <t>299420210529154233111722</t>
  </si>
  <si>
    <t>许晓彤</t>
  </si>
  <si>
    <t>299420210529171300111778</t>
  </si>
  <si>
    <t>蒙文燕</t>
  </si>
  <si>
    <t>299420210529174753111799</t>
  </si>
  <si>
    <t>李英</t>
  </si>
  <si>
    <t>299420210529191130111838</t>
  </si>
  <si>
    <t>王燕英</t>
  </si>
  <si>
    <t>299420210529201046111869</t>
  </si>
  <si>
    <t>吴倩盈</t>
  </si>
  <si>
    <t>299420210529205002111887</t>
  </si>
  <si>
    <t>符彬岭</t>
  </si>
  <si>
    <t>299420210529205315111888</t>
  </si>
  <si>
    <t>江青蔓</t>
  </si>
  <si>
    <t>299420210529205553111891</t>
  </si>
  <si>
    <t>陈雅蝶</t>
  </si>
  <si>
    <t>299420210529224832111981</t>
  </si>
  <si>
    <t>张梦姿</t>
  </si>
  <si>
    <t>299420210530000109112025</t>
  </si>
  <si>
    <t>何那女</t>
  </si>
  <si>
    <t>299420210530003239112036</t>
  </si>
  <si>
    <t>韩小媛</t>
  </si>
  <si>
    <t>299420210530013315112051</t>
  </si>
  <si>
    <t>潘晓波</t>
  </si>
  <si>
    <t>299420210530072821112060</t>
  </si>
  <si>
    <t>陈良才</t>
  </si>
  <si>
    <t>299420210530093632112103</t>
  </si>
  <si>
    <t>陈月铭</t>
  </si>
  <si>
    <t>299420210530101447112132</t>
  </si>
  <si>
    <t>安洁</t>
  </si>
  <si>
    <t>299420210530101624112137</t>
  </si>
  <si>
    <t>曾雪</t>
  </si>
  <si>
    <t>299420210530103352112160</t>
  </si>
  <si>
    <t>颜妍</t>
  </si>
  <si>
    <t>299420210530105523112179</t>
  </si>
  <si>
    <t>林红余</t>
  </si>
  <si>
    <t>299420210530110251112191</t>
  </si>
  <si>
    <t>艾慧星</t>
  </si>
  <si>
    <t>299420210530111110112199</t>
  </si>
  <si>
    <t>林文英</t>
  </si>
  <si>
    <t>299420210530120055112239</t>
  </si>
  <si>
    <t>杨鸿婷</t>
  </si>
  <si>
    <t>299420210530122604112258</t>
  </si>
  <si>
    <t>潘春萍</t>
  </si>
  <si>
    <t>299420210530123928112272</t>
  </si>
  <si>
    <t>关晶晶</t>
  </si>
  <si>
    <t>299420210530131140112292</t>
  </si>
  <si>
    <t>胡玲</t>
  </si>
  <si>
    <t>299420210530135132112316</t>
  </si>
  <si>
    <t>王燕妮</t>
  </si>
  <si>
    <t>299420210530145012112340</t>
  </si>
  <si>
    <t>陈达娟</t>
  </si>
  <si>
    <t>299420210530153934112372</t>
  </si>
  <si>
    <t>甫车</t>
  </si>
  <si>
    <t>299420210530155608112382</t>
  </si>
  <si>
    <t>蔡美彩</t>
  </si>
  <si>
    <t>299420210530161451112397</t>
  </si>
  <si>
    <t>梁文芳</t>
  </si>
  <si>
    <t>299420210530164647112419</t>
  </si>
  <si>
    <t>何东涛</t>
  </si>
  <si>
    <t>299420210530165949112424</t>
  </si>
  <si>
    <t>陈碧月</t>
  </si>
  <si>
    <t>299420210530170739112431</t>
  </si>
  <si>
    <t>陈运暖</t>
  </si>
  <si>
    <t>299420210530171622112444</t>
  </si>
  <si>
    <t>陈晓凡</t>
  </si>
  <si>
    <t>299420210530173753112462</t>
  </si>
  <si>
    <t>王小娜</t>
  </si>
  <si>
    <t>299420210530190244112539</t>
  </si>
  <si>
    <t>李佳音</t>
  </si>
  <si>
    <t>299420210530200057112584</t>
  </si>
  <si>
    <t>周瑞娜</t>
  </si>
  <si>
    <t>299420210530201728112596</t>
  </si>
  <si>
    <t>杜晓莹</t>
  </si>
  <si>
    <t>299420210530203152112613</t>
  </si>
  <si>
    <t>郑仙迅</t>
  </si>
  <si>
    <t>299420210530205133112636</t>
  </si>
  <si>
    <t>王娇诗</t>
  </si>
  <si>
    <t>299420210530205155112637</t>
  </si>
  <si>
    <t>苏文欣</t>
  </si>
  <si>
    <t>299420210530210310112657</t>
  </si>
  <si>
    <t>林小菊</t>
  </si>
  <si>
    <t>299420210530211029112666</t>
  </si>
  <si>
    <t>林小娇</t>
  </si>
  <si>
    <t>299420210530211548112677</t>
  </si>
  <si>
    <t>陈景玉</t>
  </si>
  <si>
    <t>299420210530220330112732</t>
  </si>
  <si>
    <t>陈瑜</t>
  </si>
  <si>
    <t>299420210530220722112735</t>
  </si>
  <si>
    <t>陈诗瑜</t>
  </si>
  <si>
    <t>299420210530220945112739</t>
  </si>
  <si>
    <t>吴花英</t>
  </si>
  <si>
    <t>299420210530221446112754</t>
  </si>
  <si>
    <t>蔡春娇</t>
  </si>
  <si>
    <t>299420210530221824112758</t>
  </si>
  <si>
    <t>符家贇</t>
  </si>
  <si>
    <t>299420210530223936112782</t>
  </si>
  <si>
    <t>向云萍</t>
  </si>
  <si>
    <t>299420210530224009112783</t>
  </si>
  <si>
    <t>彭佳倩</t>
  </si>
  <si>
    <t>299420210530230749112825</t>
  </si>
  <si>
    <t>苏云珍</t>
  </si>
  <si>
    <t>299420210530230756112826</t>
  </si>
  <si>
    <t>邝琼容</t>
  </si>
  <si>
    <t>299420210530233950112861</t>
  </si>
  <si>
    <t>吴少芳</t>
  </si>
  <si>
    <t>299420210531002232112892</t>
  </si>
  <si>
    <t>邱朝娴</t>
  </si>
  <si>
    <t>299420210531015242112913</t>
  </si>
  <si>
    <t>尹惠</t>
  </si>
  <si>
    <t>299420210531074123112927</t>
  </si>
  <si>
    <t>黄月莉</t>
  </si>
  <si>
    <t>299420210531083019112963</t>
  </si>
  <si>
    <t>罗晶莹</t>
  </si>
  <si>
    <t>299420210531084126112971</t>
  </si>
  <si>
    <t>符开秀</t>
  </si>
  <si>
    <t>299420210531084431112972</t>
  </si>
  <si>
    <t>张莉莉</t>
  </si>
  <si>
    <t>299420210531090243113000</t>
  </si>
  <si>
    <t>陈婵</t>
  </si>
  <si>
    <t>299420210531091015113010</t>
  </si>
  <si>
    <t>符仍善</t>
  </si>
  <si>
    <t>299420210531091541113015</t>
  </si>
  <si>
    <t>吴敏</t>
  </si>
  <si>
    <t>299420210531092221113024</t>
  </si>
  <si>
    <t>吴兴洁</t>
  </si>
  <si>
    <t>299420210531093312113056</t>
  </si>
  <si>
    <t>张元</t>
  </si>
  <si>
    <t>299420210531093739113061</t>
  </si>
  <si>
    <t>周莹莹</t>
  </si>
  <si>
    <t>299420210531094450113077</t>
  </si>
  <si>
    <t>何艳君</t>
  </si>
  <si>
    <t>299420210531094537113081</t>
  </si>
  <si>
    <t>林壹茹</t>
  </si>
  <si>
    <t>299420210531101325113130</t>
  </si>
  <si>
    <t>王一伊</t>
  </si>
  <si>
    <t>299420210531103110113156</t>
  </si>
  <si>
    <t>郑义艳</t>
  </si>
  <si>
    <t>299420210531111249113232</t>
  </si>
  <si>
    <t>邱小嫚</t>
  </si>
  <si>
    <t>299420210531113211113260</t>
  </si>
  <si>
    <t>杜秀明</t>
  </si>
  <si>
    <t>299420210531124857113352</t>
  </si>
  <si>
    <t>陈君</t>
  </si>
  <si>
    <t>299420210531130305113372</t>
  </si>
  <si>
    <t>吴文得</t>
  </si>
  <si>
    <t>299420210531131330113396</t>
  </si>
  <si>
    <t>杨迷荣</t>
  </si>
  <si>
    <t>299420210531131941113404</t>
  </si>
  <si>
    <t>董芳</t>
  </si>
  <si>
    <t>299420210531133158113423</t>
  </si>
  <si>
    <t>黄丽萍</t>
  </si>
  <si>
    <t>299420210531133526113427</t>
  </si>
  <si>
    <t>刘若桦</t>
  </si>
  <si>
    <t>299420210531144458113498</t>
  </si>
  <si>
    <t>王少辉</t>
  </si>
  <si>
    <t>299420210531144509113499</t>
  </si>
  <si>
    <t>299420210531145301113510</t>
  </si>
  <si>
    <t>詹怡菲</t>
  </si>
  <si>
    <t>299420210531152831113576</t>
  </si>
  <si>
    <t>颜小雪</t>
  </si>
  <si>
    <t>299420210531153645113585</t>
  </si>
  <si>
    <t>陈明治</t>
  </si>
  <si>
    <t>299420210531161425113648</t>
  </si>
  <si>
    <t>符谷丹</t>
  </si>
  <si>
    <t>0204_小学体育岗位</t>
  </si>
  <si>
    <t>0205_小学音乐岗位</t>
  </si>
  <si>
    <t>299420210525111818105048</t>
  </si>
  <si>
    <t>0206_小学科学岗位</t>
  </si>
  <si>
    <t>周冬雪</t>
  </si>
  <si>
    <t>299420210525115820105221</t>
  </si>
  <si>
    <t>叶丽雨</t>
  </si>
  <si>
    <t>299420210525120712105255</t>
  </si>
  <si>
    <t>王娇妹</t>
  </si>
  <si>
    <t>299420210525125447105428</t>
  </si>
  <si>
    <t>黄新萍</t>
  </si>
  <si>
    <t>299420210525145413105639</t>
  </si>
  <si>
    <t>杨英震</t>
  </si>
  <si>
    <t>299420210525174034106098</t>
  </si>
  <si>
    <t>卢运芳</t>
  </si>
  <si>
    <t>299420210525192840106339</t>
  </si>
  <si>
    <t>苏孟霞</t>
  </si>
  <si>
    <t>299420210525203348106507</t>
  </si>
  <si>
    <t>蔡敏</t>
  </si>
  <si>
    <t>299420210525205704106543</t>
  </si>
  <si>
    <t>王娇琳</t>
  </si>
  <si>
    <t>299420210525220642106712</t>
  </si>
  <si>
    <t>曹明霞</t>
  </si>
  <si>
    <t>299420210526073046106955</t>
  </si>
  <si>
    <t>郑兰梅</t>
  </si>
  <si>
    <t>299420210526081254106989</t>
  </si>
  <si>
    <t>李晓金</t>
  </si>
  <si>
    <t>299420210526100603107208</t>
  </si>
  <si>
    <t>柳明洁</t>
  </si>
  <si>
    <t>299420210526120453107478</t>
  </si>
  <si>
    <t>黄雪润</t>
  </si>
  <si>
    <t>299420210526183420108135</t>
  </si>
  <si>
    <t>魏佳燕</t>
  </si>
  <si>
    <t>299420210526194858108261</t>
  </si>
  <si>
    <t>王誉蓉</t>
  </si>
  <si>
    <t>299420210526211132108421</t>
  </si>
  <si>
    <t>王秋波</t>
  </si>
  <si>
    <t>299420210526214002108487</t>
  </si>
  <si>
    <t>吴维雅</t>
  </si>
  <si>
    <t>299420210526220855108555</t>
  </si>
  <si>
    <t>丁海波</t>
  </si>
  <si>
    <t>299420210527120744109198</t>
  </si>
  <si>
    <t>王婷婷</t>
  </si>
  <si>
    <t>299420210527150818109416</t>
  </si>
  <si>
    <t>傅海星</t>
  </si>
  <si>
    <t>299420210527165240109621</t>
  </si>
  <si>
    <t>翁小青</t>
  </si>
  <si>
    <t>299420210527192432109812</t>
  </si>
  <si>
    <t>黎春敏</t>
  </si>
  <si>
    <t>299420210527200519109861</t>
  </si>
  <si>
    <t>祁符萍</t>
  </si>
  <si>
    <t>299420210527204840109916</t>
  </si>
  <si>
    <t>林慧瑜</t>
  </si>
  <si>
    <t>299420210527230333110108</t>
  </si>
  <si>
    <t>庞琼娇</t>
  </si>
  <si>
    <t>299420210529082759111418</t>
  </si>
  <si>
    <t>罗太飞</t>
  </si>
  <si>
    <t>299420210530195149112576</t>
  </si>
  <si>
    <t>李海艳</t>
  </si>
  <si>
    <t>299420210530221108112745</t>
  </si>
  <si>
    <t>陈亚婷</t>
  </si>
  <si>
    <t>299420210531085314112982</t>
  </si>
  <si>
    <t>吴小妮</t>
  </si>
  <si>
    <t>299420210531160350113635</t>
  </si>
  <si>
    <t>王棉</t>
  </si>
  <si>
    <t>299420210525090053104240</t>
  </si>
  <si>
    <t>0207_小学美术岗位</t>
  </si>
  <si>
    <t>王梦楠</t>
  </si>
  <si>
    <t>299420210525090243104255</t>
  </si>
  <si>
    <t>徐辉璇</t>
  </si>
  <si>
    <t>299420210525090510104276</t>
  </si>
  <si>
    <t>房惠</t>
  </si>
  <si>
    <t>299420210525091140104320</t>
  </si>
  <si>
    <t>吴倩娇</t>
  </si>
  <si>
    <t>299420210525091454104339</t>
  </si>
  <si>
    <t>牛晴雪</t>
  </si>
  <si>
    <t>299420210525093043104424</t>
  </si>
  <si>
    <t>王思茹</t>
  </si>
  <si>
    <t>299420210525095349104565</t>
  </si>
  <si>
    <t>王金</t>
  </si>
  <si>
    <t>299420210525100806104645</t>
  </si>
  <si>
    <t>299420210525101035104656</t>
  </si>
  <si>
    <t>王绥宝</t>
  </si>
  <si>
    <t>299420210525101221104669</t>
  </si>
  <si>
    <t>孙紫安</t>
  </si>
  <si>
    <t>299420210525101237104671</t>
  </si>
  <si>
    <t>299420210525101641104694</t>
  </si>
  <si>
    <t>占霞</t>
  </si>
  <si>
    <t>299420210525104846104912</t>
  </si>
  <si>
    <t>沙迪</t>
  </si>
  <si>
    <t>299420210525105606104947</t>
  </si>
  <si>
    <t>吴全珍</t>
  </si>
  <si>
    <t>299420210525105744104953</t>
  </si>
  <si>
    <t>方高升</t>
  </si>
  <si>
    <t>299420210525105932104961</t>
  </si>
  <si>
    <t>谭英</t>
  </si>
  <si>
    <t>299420210525113121105110</t>
  </si>
  <si>
    <t>向雅兰</t>
  </si>
  <si>
    <t>299420210525114518105163</t>
  </si>
  <si>
    <t>谢广秀</t>
  </si>
  <si>
    <t>299420210525122246105307</t>
  </si>
  <si>
    <t>刘龙君</t>
  </si>
  <si>
    <t>299420210525125738105432</t>
  </si>
  <si>
    <t>符启凡</t>
  </si>
  <si>
    <t>299420210525130335105454</t>
  </si>
  <si>
    <t>王芳青</t>
  </si>
  <si>
    <t>299420210525135359105540</t>
  </si>
  <si>
    <t>麦浪江</t>
  </si>
  <si>
    <t>299420210525142535105585</t>
  </si>
  <si>
    <t>何卓霏</t>
  </si>
  <si>
    <t>299420210525144527105618</t>
  </si>
  <si>
    <t>陈曼玉</t>
  </si>
  <si>
    <t>299420210525145959105655</t>
  </si>
  <si>
    <t>崔雨蒙</t>
  </si>
  <si>
    <t>299420210525164739105988</t>
  </si>
  <si>
    <t>李思慧</t>
  </si>
  <si>
    <t>299420210525183225106217</t>
  </si>
  <si>
    <t>林瑜</t>
  </si>
  <si>
    <t>299420210525184835106258</t>
  </si>
  <si>
    <t>吴世坤</t>
  </si>
  <si>
    <t>299420210525185821106275</t>
  </si>
  <si>
    <t>吴姗珊</t>
  </si>
  <si>
    <t>299420210525193136106346</t>
  </si>
  <si>
    <t>299420210525195707106413</t>
  </si>
  <si>
    <t>叶祎祎</t>
  </si>
  <si>
    <t>299420210525203151106497</t>
  </si>
  <si>
    <t>李青月</t>
  </si>
  <si>
    <t>299420210525212135106602</t>
  </si>
  <si>
    <t>卢佳宁</t>
  </si>
  <si>
    <t>299420210525214434106661</t>
  </si>
  <si>
    <t>牛丽逢</t>
  </si>
  <si>
    <t>299420210525230604106830</t>
  </si>
  <si>
    <t>299420210526004514106932</t>
  </si>
  <si>
    <t>韩玥</t>
  </si>
  <si>
    <t>299420210526083014107009</t>
  </si>
  <si>
    <t>吕伟</t>
  </si>
  <si>
    <t>299420210526093851107137</t>
  </si>
  <si>
    <t>伍思艳</t>
  </si>
  <si>
    <t>299420210526110318107357</t>
  </si>
  <si>
    <t>符蔚珍</t>
  </si>
  <si>
    <t>299420210526113618107430</t>
  </si>
  <si>
    <t>刘冉</t>
  </si>
  <si>
    <t>299420210526144040107691</t>
  </si>
  <si>
    <t>张文燕</t>
  </si>
  <si>
    <t>299420210526153900107805</t>
  </si>
  <si>
    <t>冯建东</t>
  </si>
  <si>
    <t>299420210526154946107827</t>
  </si>
  <si>
    <t>孙小浛</t>
  </si>
  <si>
    <t>299420210526161111107881</t>
  </si>
  <si>
    <t>吴羡姬</t>
  </si>
  <si>
    <t>299420210526172536108020</t>
  </si>
  <si>
    <t>符爱妃</t>
  </si>
  <si>
    <t>299420210526201407108309</t>
  </si>
  <si>
    <t>姬伦伦</t>
  </si>
  <si>
    <t>299420210526201457108310</t>
  </si>
  <si>
    <t>邢莎莎</t>
  </si>
  <si>
    <t>299420210526205248108381</t>
  </si>
  <si>
    <t>罗慧</t>
  </si>
  <si>
    <t>299420210526211736108442</t>
  </si>
  <si>
    <t>林雅琪</t>
  </si>
  <si>
    <t>299420210526220851108554</t>
  </si>
  <si>
    <t>黄敏</t>
  </si>
  <si>
    <t>299420210526221413108573</t>
  </si>
  <si>
    <t>佘立媛</t>
  </si>
  <si>
    <t>299420210527075038108810</t>
  </si>
  <si>
    <t>张少娃</t>
  </si>
  <si>
    <t>299420210527083752108851</t>
  </si>
  <si>
    <t>潘婷</t>
  </si>
  <si>
    <t>299420210527100659109004</t>
  </si>
  <si>
    <t>黄美佳</t>
  </si>
  <si>
    <t>299420210527110021109109</t>
  </si>
  <si>
    <t>陈献秀</t>
  </si>
  <si>
    <t>299420210527111102109130</t>
  </si>
  <si>
    <t>饶静</t>
  </si>
  <si>
    <t>299420210527112442109154</t>
  </si>
  <si>
    <t>符气翎</t>
  </si>
  <si>
    <t>299420210527163529109578</t>
  </si>
  <si>
    <t>孙瑞</t>
  </si>
  <si>
    <t>299420210527164917109610</t>
  </si>
  <si>
    <t>凌翠花</t>
  </si>
  <si>
    <t>299420210527165203109616</t>
  </si>
  <si>
    <t>张梓涵</t>
  </si>
  <si>
    <t>299420210527170047109641</t>
  </si>
  <si>
    <t>黎魏</t>
  </si>
  <si>
    <t>299420210527172341109670</t>
  </si>
  <si>
    <t>林生芳</t>
  </si>
  <si>
    <t>299420210527200038109856</t>
  </si>
  <si>
    <t>盛楷</t>
  </si>
  <si>
    <t>299420210527220326110017</t>
  </si>
  <si>
    <t>许樱潇</t>
  </si>
  <si>
    <t>299420210528114646110554</t>
  </si>
  <si>
    <t>叶绿子</t>
  </si>
  <si>
    <t>299420210528175507111065</t>
  </si>
  <si>
    <t>黄平</t>
  </si>
  <si>
    <t>299420210528185436111125</t>
  </si>
  <si>
    <t>张巾杰</t>
  </si>
  <si>
    <t>299420210529085608111429</t>
  </si>
  <si>
    <t>杨丽娜</t>
  </si>
  <si>
    <t>299420210529122954111607</t>
  </si>
  <si>
    <t>谭春燕</t>
  </si>
  <si>
    <t>299420210529163833111755</t>
  </si>
  <si>
    <t>傅伟慧</t>
  </si>
  <si>
    <t>299420210529214824111935</t>
  </si>
  <si>
    <t>麦晓琪</t>
  </si>
  <si>
    <t>299420210529215226111939</t>
  </si>
  <si>
    <t>邱国霞</t>
  </si>
  <si>
    <t>299420210530092449112099</t>
  </si>
  <si>
    <t>丁楠</t>
  </si>
  <si>
    <t>299420210530095556112116</t>
  </si>
  <si>
    <t>蔡汝强</t>
  </si>
  <si>
    <t>299420210530110948112198</t>
  </si>
  <si>
    <t>陈翠文</t>
  </si>
  <si>
    <t>299420210530150441112348</t>
  </si>
  <si>
    <t>潘芳蕊</t>
  </si>
  <si>
    <t>299420210530155953112384</t>
  </si>
  <si>
    <t>杨莉</t>
  </si>
  <si>
    <t>299420210530175242112480</t>
  </si>
  <si>
    <t>李佳怡</t>
  </si>
  <si>
    <t>299420210531080534112943</t>
  </si>
  <si>
    <t>黄良涛</t>
  </si>
  <si>
    <t>299420210531084952112976</t>
  </si>
  <si>
    <t>李嘉玲</t>
  </si>
  <si>
    <t>299420210531085033112977</t>
  </si>
  <si>
    <t>董雅娇</t>
  </si>
  <si>
    <t>299420210531090630113008</t>
  </si>
  <si>
    <t>卓洁珊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</si>
</sst>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81"/>
  <sheetViews>
    <sheetView tabSelected="1" workbookViewId="0" topLeftCell="A1">
      <selection activeCell="A1" sqref="A1:E1"/>
    </sheetView>
  </sheetViews>
  <sheetFormatPr defaultColWidth="9.00390625" defaultRowHeight="30" customHeight="1"/>
  <cols>
    <col min="1" max="1" width="9.00390625" style="3" customWidth="1"/>
    <col min="2" max="2" width="27.140625" style="3" customWidth="1"/>
    <col min="3" max="3" width="20.57421875" style="3" customWidth="1"/>
    <col min="4" max="16384" width="9.00390625" style="3" customWidth="1"/>
  </cols>
  <sheetData>
    <row r="1" spans="1:5" ht="81" customHeight="1">
      <c r="A1" s="4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6" t="str">
        <f>"299420210525090632104285"</f>
        <v>299420210525090632104285</v>
      </c>
      <c r="C3" s="6" t="s">
        <v>6</v>
      </c>
      <c r="D3" s="6" t="str">
        <f>"李珊珊"</f>
        <v>李珊珊</v>
      </c>
      <c r="E3" s="6" t="str">
        <f aca="true" t="shared" si="0" ref="E3:E9">"女"</f>
        <v>女</v>
      </c>
    </row>
    <row r="4" spans="1:5" ht="30" customHeight="1">
      <c r="A4" s="6">
        <v>2</v>
      </c>
      <c r="B4" s="6" t="str">
        <f>"299420210525091503104341"</f>
        <v>299420210525091503104341</v>
      </c>
      <c r="C4" s="6" t="s">
        <v>6</v>
      </c>
      <c r="D4" s="6" t="str">
        <f>"王神月"</f>
        <v>王神月</v>
      </c>
      <c r="E4" s="6" t="str">
        <f t="shared" si="0"/>
        <v>女</v>
      </c>
    </row>
    <row r="5" spans="1:5" ht="30" customHeight="1">
      <c r="A5" s="6">
        <v>3</v>
      </c>
      <c r="B5" s="6" t="str">
        <f>"299420210525092809104417"</f>
        <v>299420210525092809104417</v>
      </c>
      <c r="C5" s="6" t="s">
        <v>6</v>
      </c>
      <c r="D5" s="6" t="str">
        <f>"范欣欣"</f>
        <v>范欣欣</v>
      </c>
      <c r="E5" s="6" t="str">
        <f t="shared" si="0"/>
        <v>女</v>
      </c>
    </row>
    <row r="6" spans="1:5" ht="30" customHeight="1">
      <c r="A6" s="6">
        <v>4</v>
      </c>
      <c r="B6" s="6" t="str">
        <f>"299420210525095254104558"</f>
        <v>299420210525095254104558</v>
      </c>
      <c r="C6" s="6" t="s">
        <v>6</v>
      </c>
      <c r="D6" s="6" t="str">
        <f>"梁来选"</f>
        <v>梁来选</v>
      </c>
      <c r="E6" s="6" t="str">
        <f t="shared" si="0"/>
        <v>女</v>
      </c>
    </row>
    <row r="7" spans="1:5" ht="30" customHeight="1">
      <c r="A7" s="6">
        <v>5</v>
      </c>
      <c r="B7" s="6" t="str">
        <f>"299420210525102631104769"</f>
        <v>299420210525102631104769</v>
      </c>
      <c r="C7" s="6" t="s">
        <v>6</v>
      </c>
      <c r="D7" s="6" t="str">
        <f>"朱菲"</f>
        <v>朱菲</v>
      </c>
      <c r="E7" s="6" t="str">
        <f t="shared" si="0"/>
        <v>女</v>
      </c>
    </row>
    <row r="8" spans="1:5" ht="30" customHeight="1">
      <c r="A8" s="6">
        <v>6</v>
      </c>
      <c r="B8" s="6" t="str">
        <f>"299420210525103326104816"</f>
        <v>299420210525103326104816</v>
      </c>
      <c r="C8" s="6" t="s">
        <v>6</v>
      </c>
      <c r="D8" s="6" t="str">
        <f>"张迪"</f>
        <v>张迪</v>
      </c>
      <c r="E8" s="6" t="str">
        <f t="shared" si="0"/>
        <v>女</v>
      </c>
    </row>
    <row r="9" spans="1:5" ht="30" customHeight="1">
      <c r="A9" s="6">
        <v>7</v>
      </c>
      <c r="B9" s="6" t="str">
        <f>"299420210525103556104838"</f>
        <v>299420210525103556104838</v>
      </c>
      <c r="C9" s="6" t="s">
        <v>6</v>
      </c>
      <c r="D9" s="6" t="str">
        <f>"宋子阳"</f>
        <v>宋子阳</v>
      </c>
      <c r="E9" s="6" t="str">
        <f t="shared" si="0"/>
        <v>女</v>
      </c>
    </row>
    <row r="10" spans="1:5" ht="30" customHeight="1">
      <c r="A10" s="6">
        <v>8</v>
      </c>
      <c r="B10" s="6" t="str">
        <f>"299420210525104254104878"</f>
        <v>299420210525104254104878</v>
      </c>
      <c r="C10" s="6" t="s">
        <v>6</v>
      </c>
      <c r="D10" s="6" t="str">
        <f>"杨浚"</f>
        <v>杨浚</v>
      </c>
      <c r="E10" s="6" t="str">
        <f>"男"</f>
        <v>男</v>
      </c>
    </row>
    <row r="11" spans="1:5" ht="30" customHeight="1">
      <c r="A11" s="6">
        <v>9</v>
      </c>
      <c r="B11" s="6" t="str">
        <f>"299420210525105146104926"</f>
        <v>299420210525105146104926</v>
      </c>
      <c r="C11" s="6" t="s">
        <v>6</v>
      </c>
      <c r="D11" s="6" t="str">
        <f>"林苗苗"</f>
        <v>林苗苗</v>
      </c>
      <c r="E11" s="6" t="str">
        <f aca="true" t="shared" si="1" ref="E11:E62">"女"</f>
        <v>女</v>
      </c>
    </row>
    <row r="12" spans="1:5" ht="30" customHeight="1">
      <c r="A12" s="6">
        <v>10</v>
      </c>
      <c r="B12" s="6" t="str">
        <f>"299420210525111724105045"</f>
        <v>299420210525111724105045</v>
      </c>
      <c r="C12" s="6" t="s">
        <v>6</v>
      </c>
      <c r="D12" s="6" t="str">
        <f>"刘芳燕"</f>
        <v>刘芳燕</v>
      </c>
      <c r="E12" s="6" t="str">
        <f t="shared" si="1"/>
        <v>女</v>
      </c>
    </row>
    <row r="13" spans="1:5" ht="30" customHeight="1">
      <c r="A13" s="6">
        <v>11</v>
      </c>
      <c r="B13" s="6" t="str">
        <f>"299420210525111854105049"</f>
        <v>299420210525111854105049</v>
      </c>
      <c r="C13" s="6" t="s">
        <v>6</v>
      </c>
      <c r="D13" s="6" t="str">
        <f>"贾青梅"</f>
        <v>贾青梅</v>
      </c>
      <c r="E13" s="6" t="str">
        <f t="shared" si="1"/>
        <v>女</v>
      </c>
    </row>
    <row r="14" spans="1:5" ht="30" customHeight="1">
      <c r="A14" s="6">
        <v>12</v>
      </c>
      <c r="B14" s="6" t="str">
        <f>"299420210525122409105312"</f>
        <v>299420210525122409105312</v>
      </c>
      <c r="C14" s="6" t="s">
        <v>6</v>
      </c>
      <c r="D14" s="6" t="str">
        <f>"黄智盈"</f>
        <v>黄智盈</v>
      </c>
      <c r="E14" s="6" t="str">
        <f t="shared" si="1"/>
        <v>女</v>
      </c>
    </row>
    <row r="15" spans="1:5" ht="30" customHeight="1">
      <c r="A15" s="6">
        <v>13</v>
      </c>
      <c r="B15" s="6" t="str">
        <f>"299420210525123020105336"</f>
        <v>299420210525123020105336</v>
      </c>
      <c r="C15" s="6" t="s">
        <v>6</v>
      </c>
      <c r="D15" s="6" t="str">
        <f>"陈雪梅"</f>
        <v>陈雪梅</v>
      </c>
      <c r="E15" s="6" t="str">
        <f t="shared" si="1"/>
        <v>女</v>
      </c>
    </row>
    <row r="16" spans="1:5" ht="30" customHeight="1">
      <c r="A16" s="6">
        <v>14</v>
      </c>
      <c r="B16" s="6" t="str">
        <f>"299420210525131510105478"</f>
        <v>299420210525131510105478</v>
      </c>
      <c r="C16" s="6" t="s">
        <v>6</v>
      </c>
      <c r="D16" s="6" t="str">
        <f>"李丹"</f>
        <v>李丹</v>
      </c>
      <c r="E16" s="6" t="str">
        <f t="shared" si="1"/>
        <v>女</v>
      </c>
    </row>
    <row r="17" spans="1:5" ht="30" customHeight="1">
      <c r="A17" s="6">
        <v>15</v>
      </c>
      <c r="B17" s="6" t="str">
        <f>"299420210525145333105638"</f>
        <v>299420210525145333105638</v>
      </c>
      <c r="C17" s="6" t="s">
        <v>6</v>
      </c>
      <c r="D17" s="6" t="str">
        <f>"冯爱金"</f>
        <v>冯爱金</v>
      </c>
      <c r="E17" s="6" t="str">
        <f t="shared" si="1"/>
        <v>女</v>
      </c>
    </row>
    <row r="18" spans="1:5" ht="30" customHeight="1">
      <c r="A18" s="6">
        <v>16</v>
      </c>
      <c r="B18" s="6" t="str">
        <f>"299420210525153118105752"</f>
        <v>299420210525153118105752</v>
      </c>
      <c r="C18" s="6" t="s">
        <v>6</v>
      </c>
      <c r="D18" s="6" t="str">
        <f>"翁李丽"</f>
        <v>翁李丽</v>
      </c>
      <c r="E18" s="6" t="str">
        <f t="shared" si="1"/>
        <v>女</v>
      </c>
    </row>
    <row r="19" spans="1:5" ht="30" customHeight="1">
      <c r="A19" s="6">
        <v>17</v>
      </c>
      <c r="B19" s="6" t="str">
        <f>"299420210525165634106003"</f>
        <v>299420210525165634106003</v>
      </c>
      <c r="C19" s="6" t="s">
        <v>6</v>
      </c>
      <c r="D19" s="6" t="str">
        <f>"朱琼"</f>
        <v>朱琼</v>
      </c>
      <c r="E19" s="6" t="str">
        <f t="shared" si="1"/>
        <v>女</v>
      </c>
    </row>
    <row r="20" spans="1:5" ht="30" customHeight="1">
      <c r="A20" s="6">
        <v>18</v>
      </c>
      <c r="B20" s="6" t="str">
        <f>"299420210525174306106107"</f>
        <v>299420210525174306106107</v>
      </c>
      <c r="C20" s="6" t="s">
        <v>6</v>
      </c>
      <c r="D20" s="6" t="str">
        <f>"李可心"</f>
        <v>李可心</v>
      </c>
      <c r="E20" s="6" t="str">
        <f t="shared" si="1"/>
        <v>女</v>
      </c>
    </row>
    <row r="21" spans="1:5" ht="30" customHeight="1">
      <c r="A21" s="6">
        <v>19</v>
      </c>
      <c r="B21" s="6" t="str">
        <f>"299420210525174341106110"</f>
        <v>299420210525174341106110</v>
      </c>
      <c r="C21" s="6" t="s">
        <v>6</v>
      </c>
      <c r="D21" s="6" t="str">
        <f>"陈少玲"</f>
        <v>陈少玲</v>
      </c>
      <c r="E21" s="6" t="str">
        <f t="shared" si="1"/>
        <v>女</v>
      </c>
    </row>
    <row r="22" spans="1:5" ht="30" customHeight="1">
      <c r="A22" s="6">
        <v>20</v>
      </c>
      <c r="B22" s="6" t="str">
        <f>"299420210525190702106294"</f>
        <v>299420210525190702106294</v>
      </c>
      <c r="C22" s="6" t="s">
        <v>6</v>
      </c>
      <c r="D22" s="6" t="str">
        <f>"黄妮旅"</f>
        <v>黄妮旅</v>
      </c>
      <c r="E22" s="6" t="str">
        <f t="shared" si="1"/>
        <v>女</v>
      </c>
    </row>
    <row r="23" spans="1:5" ht="30" customHeight="1">
      <c r="A23" s="6">
        <v>21</v>
      </c>
      <c r="B23" s="6" t="str">
        <f>"299420210525212708106617"</f>
        <v>299420210525212708106617</v>
      </c>
      <c r="C23" s="6" t="s">
        <v>6</v>
      </c>
      <c r="D23" s="6" t="str">
        <f>"邢彦妮"</f>
        <v>邢彦妮</v>
      </c>
      <c r="E23" s="6" t="str">
        <f t="shared" si="1"/>
        <v>女</v>
      </c>
    </row>
    <row r="24" spans="1:5" ht="30" customHeight="1">
      <c r="A24" s="6">
        <v>22</v>
      </c>
      <c r="B24" s="6" t="str">
        <f>"299420210525221304106725"</f>
        <v>299420210525221304106725</v>
      </c>
      <c r="C24" s="6" t="s">
        <v>6</v>
      </c>
      <c r="D24" s="6" t="str">
        <f>"王丹"</f>
        <v>王丹</v>
      </c>
      <c r="E24" s="6" t="str">
        <f t="shared" si="1"/>
        <v>女</v>
      </c>
    </row>
    <row r="25" spans="1:5" ht="30" customHeight="1">
      <c r="A25" s="6">
        <v>23</v>
      </c>
      <c r="B25" s="6" t="str">
        <f>"299420210526084531107030"</f>
        <v>299420210526084531107030</v>
      </c>
      <c r="C25" s="6" t="s">
        <v>6</v>
      </c>
      <c r="D25" s="6" t="str">
        <f>"洪莉玲"</f>
        <v>洪莉玲</v>
      </c>
      <c r="E25" s="6" t="str">
        <f t="shared" si="1"/>
        <v>女</v>
      </c>
    </row>
    <row r="26" spans="1:5" ht="30" customHeight="1">
      <c r="A26" s="6">
        <v>24</v>
      </c>
      <c r="B26" s="6" t="str">
        <f>"299420210526101538107236"</f>
        <v>299420210526101538107236</v>
      </c>
      <c r="C26" s="6" t="s">
        <v>6</v>
      </c>
      <c r="D26" s="6" t="str">
        <f>"莫常玉"</f>
        <v>莫常玉</v>
      </c>
      <c r="E26" s="6" t="str">
        <f t="shared" si="1"/>
        <v>女</v>
      </c>
    </row>
    <row r="27" spans="1:5" ht="30" customHeight="1">
      <c r="A27" s="6">
        <v>25</v>
      </c>
      <c r="B27" s="6" t="str">
        <f>"299420210526110222107356"</f>
        <v>299420210526110222107356</v>
      </c>
      <c r="C27" s="6" t="s">
        <v>6</v>
      </c>
      <c r="D27" s="6" t="str">
        <f>"杨舒婷"</f>
        <v>杨舒婷</v>
      </c>
      <c r="E27" s="6" t="str">
        <f t="shared" si="1"/>
        <v>女</v>
      </c>
    </row>
    <row r="28" spans="1:5" ht="30" customHeight="1">
      <c r="A28" s="6">
        <v>26</v>
      </c>
      <c r="B28" s="6" t="str">
        <f>"299420210526125948107605"</f>
        <v>299420210526125948107605</v>
      </c>
      <c r="C28" s="6" t="s">
        <v>6</v>
      </c>
      <c r="D28" s="6" t="str">
        <f>"曾红"</f>
        <v>曾红</v>
      </c>
      <c r="E28" s="6" t="str">
        <f t="shared" si="1"/>
        <v>女</v>
      </c>
    </row>
    <row r="29" spans="1:5" ht="30" customHeight="1">
      <c r="A29" s="6">
        <v>27</v>
      </c>
      <c r="B29" s="6" t="str">
        <f>"299420210526144352107696"</f>
        <v>299420210526144352107696</v>
      </c>
      <c r="C29" s="6" t="s">
        <v>6</v>
      </c>
      <c r="D29" s="6" t="str">
        <f>"蒲佳雪"</f>
        <v>蒲佳雪</v>
      </c>
      <c r="E29" s="6" t="str">
        <f t="shared" si="1"/>
        <v>女</v>
      </c>
    </row>
    <row r="30" spans="1:5" ht="30" customHeight="1">
      <c r="A30" s="6">
        <v>28</v>
      </c>
      <c r="B30" s="6" t="str">
        <f>"299420210526163939107933"</f>
        <v>299420210526163939107933</v>
      </c>
      <c r="C30" s="6" t="s">
        <v>6</v>
      </c>
      <c r="D30" s="6" t="str">
        <f>"彭露"</f>
        <v>彭露</v>
      </c>
      <c r="E30" s="6" t="str">
        <f t="shared" si="1"/>
        <v>女</v>
      </c>
    </row>
    <row r="31" spans="1:5" ht="30" customHeight="1">
      <c r="A31" s="6">
        <v>29</v>
      </c>
      <c r="B31" s="6" t="str">
        <f>"299420210526164747107949"</f>
        <v>299420210526164747107949</v>
      </c>
      <c r="C31" s="6" t="s">
        <v>6</v>
      </c>
      <c r="D31" s="6" t="str">
        <f>"杨铭雪"</f>
        <v>杨铭雪</v>
      </c>
      <c r="E31" s="6" t="str">
        <f t="shared" si="1"/>
        <v>女</v>
      </c>
    </row>
    <row r="32" spans="1:5" ht="30" customHeight="1">
      <c r="A32" s="6">
        <v>30</v>
      </c>
      <c r="B32" s="6" t="str">
        <f>"299420210526164858107953"</f>
        <v>299420210526164858107953</v>
      </c>
      <c r="C32" s="6" t="s">
        <v>6</v>
      </c>
      <c r="D32" s="6" t="str">
        <f>"陈思思"</f>
        <v>陈思思</v>
      </c>
      <c r="E32" s="6" t="str">
        <f t="shared" si="1"/>
        <v>女</v>
      </c>
    </row>
    <row r="33" spans="1:5" ht="30" customHeight="1">
      <c r="A33" s="6">
        <v>31</v>
      </c>
      <c r="B33" s="6" t="str">
        <f>"299420210526170925107993"</f>
        <v>299420210526170925107993</v>
      </c>
      <c r="C33" s="6" t="s">
        <v>6</v>
      </c>
      <c r="D33" s="6" t="str">
        <f>"柳少敏"</f>
        <v>柳少敏</v>
      </c>
      <c r="E33" s="6" t="str">
        <f t="shared" si="1"/>
        <v>女</v>
      </c>
    </row>
    <row r="34" spans="1:5" ht="30" customHeight="1">
      <c r="A34" s="6">
        <v>32</v>
      </c>
      <c r="B34" s="6" t="str">
        <f>"299420210526191320108199"</f>
        <v>299420210526191320108199</v>
      </c>
      <c r="C34" s="6" t="s">
        <v>6</v>
      </c>
      <c r="D34" s="6" t="str">
        <f>"蔡庆祝"</f>
        <v>蔡庆祝</v>
      </c>
      <c r="E34" s="6" t="str">
        <f t="shared" si="1"/>
        <v>女</v>
      </c>
    </row>
    <row r="35" spans="1:5" ht="30" customHeight="1">
      <c r="A35" s="6">
        <v>33</v>
      </c>
      <c r="B35" s="6" t="str">
        <f>"299420210526221408108572"</f>
        <v>299420210526221408108572</v>
      </c>
      <c r="C35" s="6" t="s">
        <v>6</v>
      </c>
      <c r="D35" s="6" t="str">
        <f>"林宏晓"</f>
        <v>林宏晓</v>
      </c>
      <c r="E35" s="6" t="str">
        <f t="shared" si="1"/>
        <v>女</v>
      </c>
    </row>
    <row r="36" spans="1:5" ht="30" customHeight="1">
      <c r="A36" s="6">
        <v>34</v>
      </c>
      <c r="B36" s="6" t="str">
        <f>"299420210527072335108803"</f>
        <v>299420210527072335108803</v>
      </c>
      <c r="C36" s="6" t="s">
        <v>6</v>
      </c>
      <c r="D36" s="6" t="str">
        <f>"陈欣"</f>
        <v>陈欣</v>
      </c>
      <c r="E36" s="6" t="str">
        <f t="shared" si="1"/>
        <v>女</v>
      </c>
    </row>
    <row r="37" spans="1:5" ht="30" customHeight="1">
      <c r="A37" s="6">
        <v>35</v>
      </c>
      <c r="B37" s="6" t="str">
        <f>"299420210527090619108895"</f>
        <v>299420210527090619108895</v>
      </c>
      <c r="C37" s="6" t="s">
        <v>6</v>
      </c>
      <c r="D37" s="6" t="str">
        <f>"张帆"</f>
        <v>张帆</v>
      </c>
      <c r="E37" s="6" t="str">
        <f t="shared" si="1"/>
        <v>女</v>
      </c>
    </row>
    <row r="38" spans="1:5" ht="30" customHeight="1">
      <c r="A38" s="6">
        <v>36</v>
      </c>
      <c r="B38" s="6" t="str">
        <f>"299420210527141046109347"</f>
        <v>299420210527141046109347</v>
      </c>
      <c r="C38" s="6" t="s">
        <v>6</v>
      </c>
      <c r="D38" s="6" t="str">
        <f>"陆倩莹"</f>
        <v>陆倩莹</v>
      </c>
      <c r="E38" s="6" t="str">
        <f t="shared" si="1"/>
        <v>女</v>
      </c>
    </row>
    <row r="39" spans="1:5" ht="30" customHeight="1">
      <c r="A39" s="6">
        <v>37</v>
      </c>
      <c r="B39" s="6" t="str">
        <f>"299420210527160249109517"</f>
        <v>299420210527160249109517</v>
      </c>
      <c r="C39" s="6" t="s">
        <v>6</v>
      </c>
      <c r="D39" s="6" t="str">
        <f>"沈家芳"</f>
        <v>沈家芳</v>
      </c>
      <c r="E39" s="6" t="str">
        <f t="shared" si="1"/>
        <v>女</v>
      </c>
    </row>
    <row r="40" spans="1:5" ht="30" customHeight="1">
      <c r="A40" s="6">
        <v>38</v>
      </c>
      <c r="B40" s="6" t="str">
        <f>"299420210527164320109594"</f>
        <v>299420210527164320109594</v>
      </c>
      <c r="C40" s="6" t="s">
        <v>6</v>
      </c>
      <c r="D40" s="6" t="str">
        <f>"郑小蓉"</f>
        <v>郑小蓉</v>
      </c>
      <c r="E40" s="6" t="str">
        <f t="shared" si="1"/>
        <v>女</v>
      </c>
    </row>
    <row r="41" spans="1:5" ht="30" customHeight="1">
      <c r="A41" s="6">
        <v>39</v>
      </c>
      <c r="B41" s="6" t="str">
        <f>"299420210527181619109737"</f>
        <v>299420210527181619109737</v>
      </c>
      <c r="C41" s="6" t="s">
        <v>6</v>
      </c>
      <c r="D41" s="6" t="str">
        <f>"陈元芳"</f>
        <v>陈元芳</v>
      </c>
      <c r="E41" s="6" t="str">
        <f t="shared" si="1"/>
        <v>女</v>
      </c>
    </row>
    <row r="42" spans="1:5" ht="30" customHeight="1">
      <c r="A42" s="6">
        <v>40</v>
      </c>
      <c r="B42" s="6" t="str">
        <f>"299420210527205806109934"</f>
        <v>299420210527205806109934</v>
      </c>
      <c r="C42" s="6" t="s">
        <v>6</v>
      </c>
      <c r="D42" s="6" t="str">
        <f>"丁梦珍"</f>
        <v>丁梦珍</v>
      </c>
      <c r="E42" s="6" t="str">
        <f t="shared" si="1"/>
        <v>女</v>
      </c>
    </row>
    <row r="43" spans="1:5" ht="30" customHeight="1">
      <c r="A43" s="6">
        <v>41</v>
      </c>
      <c r="B43" s="6" t="str">
        <f>"299420210528090141110254"</f>
        <v>299420210528090141110254</v>
      </c>
      <c r="C43" s="6" t="s">
        <v>6</v>
      </c>
      <c r="D43" s="6" t="str">
        <f>"王玉霞"</f>
        <v>王玉霞</v>
      </c>
      <c r="E43" s="6" t="str">
        <f t="shared" si="1"/>
        <v>女</v>
      </c>
    </row>
    <row r="44" spans="1:5" ht="30" customHeight="1">
      <c r="A44" s="6">
        <v>42</v>
      </c>
      <c r="B44" s="6" t="str">
        <f>"299420210528091054110269"</f>
        <v>299420210528091054110269</v>
      </c>
      <c r="C44" s="6" t="s">
        <v>6</v>
      </c>
      <c r="D44" s="6" t="str">
        <f>"吴园艳"</f>
        <v>吴园艳</v>
      </c>
      <c r="E44" s="6" t="str">
        <f t="shared" si="1"/>
        <v>女</v>
      </c>
    </row>
    <row r="45" spans="1:5" ht="30" customHeight="1">
      <c r="A45" s="6">
        <v>43</v>
      </c>
      <c r="B45" s="6" t="str">
        <f>"299420210528091901110284"</f>
        <v>299420210528091901110284</v>
      </c>
      <c r="C45" s="6" t="s">
        <v>6</v>
      </c>
      <c r="D45" s="6" t="str">
        <f>"欧敬萍"</f>
        <v>欧敬萍</v>
      </c>
      <c r="E45" s="6" t="str">
        <f t="shared" si="1"/>
        <v>女</v>
      </c>
    </row>
    <row r="46" spans="1:5" ht="30" customHeight="1">
      <c r="A46" s="6">
        <v>44</v>
      </c>
      <c r="B46" s="6" t="str">
        <f>"299420210528104616110452"</f>
        <v>299420210528104616110452</v>
      </c>
      <c r="C46" s="6" t="s">
        <v>6</v>
      </c>
      <c r="D46" s="6" t="str">
        <f>"王丽珍"</f>
        <v>王丽珍</v>
      </c>
      <c r="E46" s="6" t="str">
        <f t="shared" si="1"/>
        <v>女</v>
      </c>
    </row>
    <row r="47" spans="1:5" ht="30" customHeight="1">
      <c r="A47" s="6">
        <v>45</v>
      </c>
      <c r="B47" s="6" t="str">
        <f>"299420210528112932110524"</f>
        <v>299420210528112932110524</v>
      </c>
      <c r="C47" s="6" t="s">
        <v>6</v>
      </c>
      <c r="D47" s="6" t="str">
        <f>"魏雪琴"</f>
        <v>魏雪琴</v>
      </c>
      <c r="E47" s="6" t="str">
        <f t="shared" si="1"/>
        <v>女</v>
      </c>
    </row>
    <row r="48" spans="1:5" ht="30" customHeight="1">
      <c r="A48" s="6">
        <v>46</v>
      </c>
      <c r="B48" s="6" t="str">
        <f>"299420210528153857110868"</f>
        <v>299420210528153857110868</v>
      </c>
      <c r="C48" s="6" t="s">
        <v>6</v>
      </c>
      <c r="D48" s="6" t="str">
        <f>"胡红丽"</f>
        <v>胡红丽</v>
      </c>
      <c r="E48" s="6" t="str">
        <f t="shared" si="1"/>
        <v>女</v>
      </c>
    </row>
    <row r="49" spans="1:5" ht="30" customHeight="1">
      <c r="A49" s="6">
        <v>47</v>
      </c>
      <c r="B49" s="6" t="str">
        <f>"299420210528173241111030"</f>
        <v>299420210528173241111030</v>
      </c>
      <c r="C49" s="6" t="s">
        <v>6</v>
      </c>
      <c r="D49" s="6" t="str">
        <f>"陈欣莹"</f>
        <v>陈欣莹</v>
      </c>
      <c r="E49" s="6" t="str">
        <f t="shared" si="1"/>
        <v>女</v>
      </c>
    </row>
    <row r="50" spans="1:5" ht="30" customHeight="1">
      <c r="A50" s="6">
        <v>48</v>
      </c>
      <c r="B50" s="6" t="str">
        <f>"299420210528174440111048"</f>
        <v>299420210528174440111048</v>
      </c>
      <c r="C50" s="6" t="s">
        <v>6</v>
      </c>
      <c r="D50" s="6" t="str">
        <f>"甘小碧"</f>
        <v>甘小碧</v>
      </c>
      <c r="E50" s="6" t="str">
        <f t="shared" si="1"/>
        <v>女</v>
      </c>
    </row>
    <row r="51" spans="1:5" ht="30" customHeight="1">
      <c r="A51" s="6">
        <v>49</v>
      </c>
      <c r="B51" s="6" t="str">
        <f>"299420210529173452111787"</f>
        <v>299420210529173452111787</v>
      </c>
      <c r="C51" s="6" t="s">
        <v>6</v>
      </c>
      <c r="D51" s="6" t="str">
        <f>"陈欣欣"</f>
        <v>陈欣欣</v>
      </c>
      <c r="E51" s="6" t="str">
        <f t="shared" si="1"/>
        <v>女</v>
      </c>
    </row>
    <row r="52" spans="1:5" ht="30" customHeight="1">
      <c r="A52" s="6">
        <v>50</v>
      </c>
      <c r="B52" s="6" t="str">
        <f>"299420210529174340111797"</f>
        <v>299420210529174340111797</v>
      </c>
      <c r="C52" s="6" t="s">
        <v>6</v>
      </c>
      <c r="D52" s="6" t="str">
        <f>"陈文娟"</f>
        <v>陈文娟</v>
      </c>
      <c r="E52" s="6" t="str">
        <f t="shared" si="1"/>
        <v>女</v>
      </c>
    </row>
    <row r="53" spans="1:5" ht="30" customHeight="1">
      <c r="A53" s="6">
        <v>51</v>
      </c>
      <c r="B53" s="6" t="str">
        <f>"299420210529224745111980"</f>
        <v>299420210529224745111980</v>
      </c>
      <c r="C53" s="6" t="s">
        <v>6</v>
      </c>
      <c r="D53" s="6" t="str">
        <f>"朱熙"</f>
        <v>朱熙</v>
      </c>
      <c r="E53" s="6" t="str">
        <f t="shared" si="1"/>
        <v>女</v>
      </c>
    </row>
    <row r="54" spans="1:5" ht="30" customHeight="1">
      <c r="A54" s="6">
        <v>52</v>
      </c>
      <c r="B54" s="6" t="str">
        <f>"299420210529224835111982"</f>
        <v>299420210529224835111982</v>
      </c>
      <c r="C54" s="6" t="s">
        <v>6</v>
      </c>
      <c r="D54" s="6" t="str">
        <f>"王小红"</f>
        <v>王小红</v>
      </c>
      <c r="E54" s="6" t="str">
        <f t="shared" si="1"/>
        <v>女</v>
      </c>
    </row>
    <row r="55" spans="1:5" ht="30" customHeight="1">
      <c r="A55" s="6">
        <v>53</v>
      </c>
      <c r="B55" s="6" t="str">
        <f>"299420210530111958112206"</f>
        <v>299420210530111958112206</v>
      </c>
      <c r="C55" s="6" t="s">
        <v>6</v>
      </c>
      <c r="D55" s="6" t="str">
        <f>"黄海燕"</f>
        <v>黄海燕</v>
      </c>
      <c r="E55" s="6" t="str">
        <f t="shared" si="1"/>
        <v>女</v>
      </c>
    </row>
    <row r="56" spans="1:5" ht="30" customHeight="1">
      <c r="A56" s="6">
        <v>54</v>
      </c>
      <c r="B56" s="6" t="str">
        <f>"299420210530131255112294"</f>
        <v>299420210530131255112294</v>
      </c>
      <c r="C56" s="6" t="s">
        <v>6</v>
      </c>
      <c r="D56" s="6" t="str">
        <f>"杨艳"</f>
        <v>杨艳</v>
      </c>
      <c r="E56" s="6" t="str">
        <f t="shared" si="1"/>
        <v>女</v>
      </c>
    </row>
    <row r="57" spans="1:5" ht="30" customHeight="1">
      <c r="A57" s="6">
        <v>55</v>
      </c>
      <c r="B57" s="6" t="str">
        <f>"299420210530152446112367"</f>
        <v>299420210530152446112367</v>
      </c>
      <c r="C57" s="6" t="s">
        <v>6</v>
      </c>
      <c r="D57" s="6" t="str">
        <f>"郭小丹"</f>
        <v>郭小丹</v>
      </c>
      <c r="E57" s="6" t="str">
        <f t="shared" si="1"/>
        <v>女</v>
      </c>
    </row>
    <row r="58" spans="1:5" ht="30" customHeight="1">
      <c r="A58" s="6">
        <v>56</v>
      </c>
      <c r="B58" s="6" t="str">
        <f>"299420210530182200112507"</f>
        <v>299420210530182200112507</v>
      </c>
      <c r="C58" s="6" t="s">
        <v>6</v>
      </c>
      <c r="D58" s="6" t="str">
        <f>"闫华"</f>
        <v>闫华</v>
      </c>
      <c r="E58" s="6" t="str">
        <f t="shared" si="1"/>
        <v>女</v>
      </c>
    </row>
    <row r="59" spans="1:5" ht="30" customHeight="1">
      <c r="A59" s="6">
        <v>57</v>
      </c>
      <c r="B59" s="6" t="str">
        <f>"299420210530211409112673"</f>
        <v>299420210530211409112673</v>
      </c>
      <c r="C59" s="6" t="s">
        <v>6</v>
      </c>
      <c r="D59" s="6" t="str">
        <f>"陈丽平"</f>
        <v>陈丽平</v>
      </c>
      <c r="E59" s="6" t="str">
        <f t="shared" si="1"/>
        <v>女</v>
      </c>
    </row>
    <row r="60" spans="1:5" ht="30" customHeight="1">
      <c r="A60" s="6">
        <v>58</v>
      </c>
      <c r="B60" s="6" t="str">
        <f>"299420210530234219112862"</f>
        <v>299420210530234219112862</v>
      </c>
      <c r="C60" s="6" t="s">
        <v>6</v>
      </c>
      <c r="D60" s="6" t="str">
        <f>"施美倩"</f>
        <v>施美倩</v>
      </c>
      <c r="E60" s="6" t="str">
        <f t="shared" si="1"/>
        <v>女</v>
      </c>
    </row>
    <row r="61" spans="1:5" ht="30" customHeight="1">
      <c r="A61" s="6">
        <v>59</v>
      </c>
      <c r="B61" s="6" t="str">
        <f>"299420210531124502113345"</f>
        <v>299420210531124502113345</v>
      </c>
      <c r="C61" s="6" t="s">
        <v>6</v>
      </c>
      <c r="D61" s="6" t="str">
        <f>"王艺瑾"</f>
        <v>王艺瑾</v>
      </c>
      <c r="E61" s="6" t="str">
        <f t="shared" si="1"/>
        <v>女</v>
      </c>
    </row>
    <row r="62" spans="1:5" ht="30" customHeight="1">
      <c r="A62" s="6">
        <v>60</v>
      </c>
      <c r="B62" s="6" t="str">
        <f>"299420210531153349113582"</f>
        <v>299420210531153349113582</v>
      </c>
      <c r="C62" s="6" t="s">
        <v>6</v>
      </c>
      <c r="D62" s="6" t="str">
        <f>"符倩"</f>
        <v>符倩</v>
      </c>
      <c r="E62" s="6" t="str">
        <f t="shared" si="1"/>
        <v>女</v>
      </c>
    </row>
    <row r="63" spans="1:5" ht="30" customHeight="1">
      <c r="A63" s="6">
        <v>61</v>
      </c>
      <c r="B63" s="6" t="str">
        <f>"299420210525091327104332"</f>
        <v>299420210525091327104332</v>
      </c>
      <c r="C63" s="6" t="s">
        <v>7</v>
      </c>
      <c r="D63" s="6" t="str">
        <f>"王华汉"</f>
        <v>王华汉</v>
      </c>
      <c r="E63" s="6" t="str">
        <f>"男"</f>
        <v>男</v>
      </c>
    </row>
    <row r="64" spans="1:5" ht="30" customHeight="1">
      <c r="A64" s="6">
        <v>62</v>
      </c>
      <c r="B64" s="6" t="str">
        <f>"299420210525091619104347"</f>
        <v>299420210525091619104347</v>
      </c>
      <c r="C64" s="6" t="s">
        <v>7</v>
      </c>
      <c r="D64" s="6" t="str">
        <f>"曾惠雯"</f>
        <v>曾惠雯</v>
      </c>
      <c r="E64" s="6" t="str">
        <f aca="true" t="shared" si="2" ref="E64:E72">"女"</f>
        <v>女</v>
      </c>
    </row>
    <row r="65" spans="1:5" ht="30" customHeight="1">
      <c r="A65" s="6">
        <v>63</v>
      </c>
      <c r="B65" s="6" t="str">
        <f>"299420210525092321104390"</f>
        <v>299420210525092321104390</v>
      </c>
      <c r="C65" s="6" t="s">
        <v>7</v>
      </c>
      <c r="D65" s="6" t="str">
        <f>"吴琼"</f>
        <v>吴琼</v>
      </c>
      <c r="E65" s="6" t="str">
        <f t="shared" si="2"/>
        <v>女</v>
      </c>
    </row>
    <row r="66" spans="1:5" ht="30" customHeight="1">
      <c r="A66" s="6">
        <v>64</v>
      </c>
      <c r="B66" s="6" t="str">
        <f>"299420210525092932104421"</f>
        <v>299420210525092932104421</v>
      </c>
      <c r="C66" s="6" t="s">
        <v>7</v>
      </c>
      <c r="D66" s="6" t="str">
        <f>"丁怀莹"</f>
        <v>丁怀莹</v>
      </c>
      <c r="E66" s="6" t="str">
        <f t="shared" si="2"/>
        <v>女</v>
      </c>
    </row>
    <row r="67" spans="1:5" ht="30" customHeight="1">
      <c r="A67" s="6">
        <v>65</v>
      </c>
      <c r="B67" s="6" t="str">
        <f>"299420210525093856104476"</f>
        <v>299420210525093856104476</v>
      </c>
      <c r="C67" s="6" t="s">
        <v>7</v>
      </c>
      <c r="D67" s="6" t="str">
        <f>"王菲"</f>
        <v>王菲</v>
      </c>
      <c r="E67" s="6" t="str">
        <f t="shared" si="2"/>
        <v>女</v>
      </c>
    </row>
    <row r="68" spans="1:5" ht="30" customHeight="1">
      <c r="A68" s="6">
        <v>66</v>
      </c>
      <c r="B68" s="6" t="str">
        <f>"299420210525094606104518"</f>
        <v>299420210525094606104518</v>
      </c>
      <c r="C68" s="6" t="s">
        <v>7</v>
      </c>
      <c r="D68" s="6" t="str">
        <f>"庄晓婷"</f>
        <v>庄晓婷</v>
      </c>
      <c r="E68" s="6" t="str">
        <f t="shared" si="2"/>
        <v>女</v>
      </c>
    </row>
    <row r="69" spans="1:5" ht="30" customHeight="1">
      <c r="A69" s="6">
        <v>67</v>
      </c>
      <c r="B69" s="6" t="str">
        <f>"299420210525095229104554"</f>
        <v>299420210525095229104554</v>
      </c>
      <c r="C69" s="6" t="s">
        <v>7</v>
      </c>
      <c r="D69" s="6" t="str">
        <f>"邢莉莉"</f>
        <v>邢莉莉</v>
      </c>
      <c r="E69" s="6" t="str">
        <f t="shared" si="2"/>
        <v>女</v>
      </c>
    </row>
    <row r="70" spans="1:5" ht="30" customHeight="1">
      <c r="A70" s="6">
        <v>68</v>
      </c>
      <c r="B70" s="6" t="str">
        <f>"299420210525095741104590"</f>
        <v>299420210525095741104590</v>
      </c>
      <c r="C70" s="6" t="s">
        <v>7</v>
      </c>
      <c r="D70" s="6" t="str">
        <f>"杨苗"</f>
        <v>杨苗</v>
      </c>
      <c r="E70" s="6" t="str">
        <f t="shared" si="2"/>
        <v>女</v>
      </c>
    </row>
    <row r="71" spans="1:5" ht="30" customHeight="1">
      <c r="A71" s="6">
        <v>69</v>
      </c>
      <c r="B71" s="6" t="str">
        <f>"299420210525100644104639"</f>
        <v>299420210525100644104639</v>
      </c>
      <c r="C71" s="6" t="s">
        <v>7</v>
      </c>
      <c r="D71" s="6" t="str">
        <f>"王娜"</f>
        <v>王娜</v>
      </c>
      <c r="E71" s="6" t="str">
        <f t="shared" si="2"/>
        <v>女</v>
      </c>
    </row>
    <row r="72" spans="1:5" ht="30" customHeight="1">
      <c r="A72" s="6">
        <v>70</v>
      </c>
      <c r="B72" s="6" t="str">
        <f>"299420210525100859104648"</f>
        <v>299420210525100859104648</v>
      </c>
      <c r="C72" s="6" t="s">
        <v>7</v>
      </c>
      <c r="D72" s="6" t="str">
        <f>"周超莹"</f>
        <v>周超莹</v>
      </c>
      <c r="E72" s="6" t="str">
        <f t="shared" si="2"/>
        <v>女</v>
      </c>
    </row>
    <row r="73" spans="1:5" ht="30" customHeight="1">
      <c r="A73" s="6">
        <v>71</v>
      </c>
      <c r="B73" s="6" t="str">
        <f>"299420210525101233104670"</f>
        <v>299420210525101233104670</v>
      </c>
      <c r="C73" s="6" t="s">
        <v>7</v>
      </c>
      <c r="D73" s="6" t="str">
        <f>"文俊波"</f>
        <v>文俊波</v>
      </c>
      <c r="E73" s="6" t="str">
        <f>"男"</f>
        <v>男</v>
      </c>
    </row>
    <row r="74" spans="1:5" ht="30" customHeight="1">
      <c r="A74" s="6">
        <v>72</v>
      </c>
      <c r="B74" s="6" t="str">
        <f>"299420210525101408104680"</f>
        <v>299420210525101408104680</v>
      </c>
      <c r="C74" s="6" t="s">
        <v>7</v>
      </c>
      <c r="D74" s="6" t="str">
        <f>"陈雅丹"</f>
        <v>陈雅丹</v>
      </c>
      <c r="E74" s="6" t="str">
        <f>"女"</f>
        <v>女</v>
      </c>
    </row>
    <row r="75" spans="1:5" ht="30" customHeight="1">
      <c r="A75" s="6">
        <v>73</v>
      </c>
      <c r="B75" s="6" t="str">
        <f>"299420210525102043104720"</f>
        <v>299420210525102043104720</v>
      </c>
      <c r="C75" s="6" t="s">
        <v>7</v>
      </c>
      <c r="D75" s="6" t="str">
        <f>"邓美玲"</f>
        <v>邓美玲</v>
      </c>
      <c r="E75" s="6" t="str">
        <f>"女"</f>
        <v>女</v>
      </c>
    </row>
    <row r="76" spans="1:5" ht="30" customHeight="1">
      <c r="A76" s="6">
        <v>74</v>
      </c>
      <c r="B76" s="6" t="str">
        <f>"299420210525102211104733"</f>
        <v>299420210525102211104733</v>
      </c>
      <c r="C76" s="6" t="s">
        <v>7</v>
      </c>
      <c r="D76" s="6" t="str">
        <f>"陈光墉"</f>
        <v>陈光墉</v>
      </c>
      <c r="E76" s="6" t="str">
        <f>"男"</f>
        <v>男</v>
      </c>
    </row>
    <row r="77" spans="1:5" ht="30" customHeight="1">
      <c r="A77" s="6">
        <v>75</v>
      </c>
      <c r="B77" s="6" t="str">
        <f>"299420210525102312104739"</f>
        <v>299420210525102312104739</v>
      </c>
      <c r="C77" s="6" t="s">
        <v>7</v>
      </c>
      <c r="D77" s="6" t="str">
        <f>"卢银叶"</f>
        <v>卢银叶</v>
      </c>
      <c r="E77" s="6" t="str">
        <f aca="true" t="shared" si="3" ref="E77:E82">"女"</f>
        <v>女</v>
      </c>
    </row>
    <row r="78" spans="1:5" ht="30" customHeight="1">
      <c r="A78" s="6">
        <v>76</v>
      </c>
      <c r="B78" s="6" t="str">
        <f>"299420210525103124104801"</f>
        <v>299420210525103124104801</v>
      </c>
      <c r="C78" s="6" t="s">
        <v>7</v>
      </c>
      <c r="D78" s="6" t="str">
        <f>"詹翠玉"</f>
        <v>詹翠玉</v>
      </c>
      <c r="E78" s="6" t="str">
        <f t="shared" si="3"/>
        <v>女</v>
      </c>
    </row>
    <row r="79" spans="1:5" ht="30" customHeight="1">
      <c r="A79" s="6">
        <v>77</v>
      </c>
      <c r="B79" s="6" t="str">
        <f>"299420210525103210104805"</f>
        <v>299420210525103210104805</v>
      </c>
      <c r="C79" s="6" t="s">
        <v>7</v>
      </c>
      <c r="D79" s="6" t="str">
        <f>"薛梅娟"</f>
        <v>薛梅娟</v>
      </c>
      <c r="E79" s="6" t="str">
        <f t="shared" si="3"/>
        <v>女</v>
      </c>
    </row>
    <row r="80" spans="1:5" ht="30" customHeight="1">
      <c r="A80" s="6">
        <v>78</v>
      </c>
      <c r="B80" s="6" t="str">
        <f>"299420210525110107104969"</f>
        <v>299420210525110107104969</v>
      </c>
      <c r="C80" s="6" t="s">
        <v>7</v>
      </c>
      <c r="D80" s="6" t="str">
        <f>"吴洁明"</f>
        <v>吴洁明</v>
      </c>
      <c r="E80" s="6" t="str">
        <f t="shared" si="3"/>
        <v>女</v>
      </c>
    </row>
    <row r="81" spans="1:5" ht="30" customHeight="1">
      <c r="A81" s="6">
        <v>79</v>
      </c>
      <c r="B81" s="6" t="str">
        <f>"299420210525110308104975"</f>
        <v>299420210525110308104975</v>
      </c>
      <c r="C81" s="6" t="s">
        <v>7</v>
      </c>
      <c r="D81" s="6" t="str">
        <f>"邢清瑶"</f>
        <v>邢清瑶</v>
      </c>
      <c r="E81" s="6" t="str">
        <f t="shared" si="3"/>
        <v>女</v>
      </c>
    </row>
    <row r="82" spans="1:5" ht="30" customHeight="1">
      <c r="A82" s="6">
        <v>80</v>
      </c>
      <c r="B82" s="6" t="str">
        <f>"299420210525125249105424"</f>
        <v>299420210525125249105424</v>
      </c>
      <c r="C82" s="6" t="s">
        <v>7</v>
      </c>
      <c r="D82" s="6" t="str">
        <f>"陈莹"</f>
        <v>陈莹</v>
      </c>
      <c r="E82" s="6" t="str">
        <f t="shared" si="3"/>
        <v>女</v>
      </c>
    </row>
    <row r="83" spans="1:5" ht="30" customHeight="1">
      <c r="A83" s="6">
        <v>81</v>
      </c>
      <c r="B83" s="6" t="str">
        <f>"299420210525135315105537"</f>
        <v>299420210525135315105537</v>
      </c>
      <c r="C83" s="6" t="s">
        <v>7</v>
      </c>
      <c r="D83" s="6" t="str">
        <f>"曾惕"</f>
        <v>曾惕</v>
      </c>
      <c r="E83" s="6" t="str">
        <f>"男"</f>
        <v>男</v>
      </c>
    </row>
    <row r="84" spans="1:5" ht="30" customHeight="1">
      <c r="A84" s="6">
        <v>82</v>
      </c>
      <c r="B84" s="6" t="str">
        <f>"299420210525151749105705"</f>
        <v>299420210525151749105705</v>
      </c>
      <c r="C84" s="6" t="s">
        <v>7</v>
      </c>
      <c r="D84" s="6" t="str">
        <f>"陈学慧"</f>
        <v>陈学慧</v>
      </c>
      <c r="E84" s="6" t="str">
        <f aca="true" t="shared" si="4" ref="E84:E106">"女"</f>
        <v>女</v>
      </c>
    </row>
    <row r="85" spans="1:5" ht="30" customHeight="1">
      <c r="A85" s="6">
        <v>83</v>
      </c>
      <c r="B85" s="6" t="str">
        <f>"299420210525151937105710"</f>
        <v>299420210525151937105710</v>
      </c>
      <c r="C85" s="6" t="s">
        <v>7</v>
      </c>
      <c r="D85" s="6" t="str">
        <f>"叶映枚"</f>
        <v>叶映枚</v>
      </c>
      <c r="E85" s="6" t="str">
        <f t="shared" si="4"/>
        <v>女</v>
      </c>
    </row>
    <row r="86" spans="1:5" ht="30" customHeight="1">
      <c r="A86" s="6">
        <v>84</v>
      </c>
      <c r="B86" s="6" t="str">
        <f>"299420210525153814105775"</f>
        <v>299420210525153814105775</v>
      </c>
      <c r="C86" s="6" t="s">
        <v>7</v>
      </c>
      <c r="D86" s="6" t="str">
        <f>"周潮敏"</f>
        <v>周潮敏</v>
      </c>
      <c r="E86" s="6" t="str">
        <f t="shared" si="4"/>
        <v>女</v>
      </c>
    </row>
    <row r="87" spans="1:5" ht="30" customHeight="1">
      <c r="A87" s="6">
        <v>85</v>
      </c>
      <c r="B87" s="6" t="str">
        <f>"299420210525153858105780"</f>
        <v>299420210525153858105780</v>
      </c>
      <c r="C87" s="6" t="s">
        <v>7</v>
      </c>
      <c r="D87" s="6" t="str">
        <f>"卢文丽"</f>
        <v>卢文丽</v>
      </c>
      <c r="E87" s="6" t="str">
        <f t="shared" si="4"/>
        <v>女</v>
      </c>
    </row>
    <row r="88" spans="1:5" ht="30" customHeight="1">
      <c r="A88" s="6">
        <v>86</v>
      </c>
      <c r="B88" s="6" t="str">
        <f>"299420210525161356105888"</f>
        <v>299420210525161356105888</v>
      </c>
      <c r="C88" s="6" t="s">
        <v>7</v>
      </c>
      <c r="D88" s="6" t="str">
        <f>"符美月"</f>
        <v>符美月</v>
      </c>
      <c r="E88" s="6" t="str">
        <f t="shared" si="4"/>
        <v>女</v>
      </c>
    </row>
    <row r="89" spans="1:5" ht="30" customHeight="1">
      <c r="A89" s="6">
        <v>87</v>
      </c>
      <c r="B89" s="6" t="str">
        <f>"299420210525162417105917"</f>
        <v>299420210525162417105917</v>
      </c>
      <c r="C89" s="6" t="s">
        <v>7</v>
      </c>
      <c r="D89" s="6" t="str">
        <f>"柯晓云"</f>
        <v>柯晓云</v>
      </c>
      <c r="E89" s="6" t="str">
        <f t="shared" si="4"/>
        <v>女</v>
      </c>
    </row>
    <row r="90" spans="1:5" ht="30" customHeight="1">
      <c r="A90" s="6">
        <v>88</v>
      </c>
      <c r="B90" s="6" t="str">
        <f>"299420210525172313106061"</f>
        <v>299420210525172313106061</v>
      </c>
      <c r="C90" s="6" t="s">
        <v>7</v>
      </c>
      <c r="D90" s="6" t="str">
        <f>"林丽香"</f>
        <v>林丽香</v>
      </c>
      <c r="E90" s="6" t="str">
        <f t="shared" si="4"/>
        <v>女</v>
      </c>
    </row>
    <row r="91" spans="1:5" ht="30" customHeight="1">
      <c r="A91" s="6">
        <v>89</v>
      </c>
      <c r="B91" s="6" t="str">
        <f>"299420210525172423106063"</f>
        <v>299420210525172423106063</v>
      </c>
      <c r="C91" s="6" t="s">
        <v>7</v>
      </c>
      <c r="D91" s="6" t="str">
        <f>"陈萍"</f>
        <v>陈萍</v>
      </c>
      <c r="E91" s="6" t="str">
        <f t="shared" si="4"/>
        <v>女</v>
      </c>
    </row>
    <row r="92" spans="1:5" ht="30" customHeight="1">
      <c r="A92" s="6">
        <v>90</v>
      </c>
      <c r="B92" s="6" t="str">
        <f>"299420210525180200106147"</f>
        <v>299420210525180200106147</v>
      </c>
      <c r="C92" s="6" t="s">
        <v>7</v>
      </c>
      <c r="D92" s="6" t="str">
        <f>"冯小珍"</f>
        <v>冯小珍</v>
      </c>
      <c r="E92" s="6" t="str">
        <f t="shared" si="4"/>
        <v>女</v>
      </c>
    </row>
    <row r="93" spans="1:5" ht="30" customHeight="1">
      <c r="A93" s="6">
        <v>91</v>
      </c>
      <c r="B93" s="6" t="str">
        <f>"299420210525182552106204"</f>
        <v>299420210525182552106204</v>
      </c>
      <c r="C93" s="6" t="s">
        <v>7</v>
      </c>
      <c r="D93" s="6" t="str">
        <f>"赖秋婷"</f>
        <v>赖秋婷</v>
      </c>
      <c r="E93" s="6" t="str">
        <f t="shared" si="4"/>
        <v>女</v>
      </c>
    </row>
    <row r="94" spans="1:5" ht="30" customHeight="1">
      <c r="A94" s="6">
        <v>92</v>
      </c>
      <c r="B94" s="6" t="str">
        <f>"299420210525185953106278"</f>
        <v>299420210525185953106278</v>
      </c>
      <c r="C94" s="6" t="s">
        <v>7</v>
      </c>
      <c r="D94" s="6" t="str">
        <f>"冯丹霞"</f>
        <v>冯丹霞</v>
      </c>
      <c r="E94" s="6" t="str">
        <f t="shared" si="4"/>
        <v>女</v>
      </c>
    </row>
    <row r="95" spans="1:5" ht="30" customHeight="1">
      <c r="A95" s="6">
        <v>93</v>
      </c>
      <c r="B95" s="6" t="str">
        <f>"299420210525201342106446"</f>
        <v>299420210525201342106446</v>
      </c>
      <c r="C95" s="6" t="s">
        <v>7</v>
      </c>
      <c r="D95" s="6" t="str">
        <f>"陈真霞"</f>
        <v>陈真霞</v>
      </c>
      <c r="E95" s="6" t="str">
        <f t="shared" si="4"/>
        <v>女</v>
      </c>
    </row>
    <row r="96" spans="1:5" ht="30" customHeight="1">
      <c r="A96" s="6">
        <v>94</v>
      </c>
      <c r="B96" s="6" t="str">
        <f>"299420210525202501106478"</f>
        <v>299420210525202501106478</v>
      </c>
      <c r="C96" s="6" t="s">
        <v>7</v>
      </c>
      <c r="D96" s="6" t="str">
        <f>"秦风娟"</f>
        <v>秦风娟</v>
      </c>
      <c r="E96" s="6" t="str">
        <f t="shared" si="4"/>
        <v>女</v>
      </c>
    </row>
    <row r="97" spans="1:5" ht="30" customHeight="1">
      <c r="A97" s="6">
        <v>95</v>
      </c>
      <c r="B97" s="6" t="str">
        <f>"299420210525202558106481"</f>
        <v>299420210525202558106481</v>
      </c>
      <c r="C97" s="6" t="s">
        <v>7</v>
      </c>
      <c r="D97" s="6" t="str">
        <f>"钟绮云"</f>
        <v>钟绮云</v>
      </c>
      <c r="E97" s="6" t="str">
        <f t="shared" si="4"/>
        <v>女</v>
      </c>
    </row>
    <row r="98" spans="1:5" ht="30" customHeight="1">
      <c r="A98" s="6">
        <v>96</v>
      </c>
      <c r="B98" s="6" t="str">
        <f>"299420210525212156106603"</f>
        <v>299420210525212156106603</v>
      </c>
      <c r="C98" s="6" t="s">
        <v>7</v>
      </c>
      <c r="D98" s="6" t="str">
        <f>"王馨苡"</f>
        <v>王馨苡</v>
      </c>
      <c r="E98" s="6" t="str">
        <f t="shared" si="4"/>
        <v>女</v>
      </c>
    </row>
    <row r="99" spans="1:5" ht="30" customHeight="1">
      <c r="A99" s="6">
        <v>97</v>
      </c>
      <c r="B99" s="6" t="str">
        <f>"299420210525213022106625"</f>
        <v>299420210525213022106625</v>
      </c>
      <c r="C99" s="6" t="s">
        <v>7</v>
      </c>
      <c r="D99" s="6" t="str">
        <f>"洪小曼"</f>
        <v>洪小曼</v>
      </c>
      <c r="E99" s="6" t="str">
        <f t="shared" si="4"/>
        <v>女</v>
      </c>
    </row>
    <row r="100" spans="1:5" ht="30" customHeight="1">
      <c r="A100" s="6">
        <v>98</v>
      </c>
      <c r="B100" s="6" t="str">
        <f>"299420210525225750106818"</f>
        <v>299420210525225750106818</v>
      </c>
      <c r="C100" s="6" t="s">
        <v>7</v>
      </c>
      <c r="D100" s="6" t="str">
        <f>"冯倩"</f>
        <v>冯倩</v>
      </c>
      <c r="E100" s="6" t="str">
        <f t="shared" si="4"/>
        <v>女</v>
      </c>
    </row>
    <row r="101" spans="1:5" ht="30" customHeight="1">
      <c r="A101" s="6">
        <v>99</v>
      </c>
      <c r="B101" s="6" t="str">
        <f>"299420210525233709106876"</f>
        <v>299420210525233709106876</v>
      </c>
      <c r="C101" s="6" t="s">
        <v>7</v>
      </c>
      <c r="D101" s="6" t="str">
        <f>"郑焕妃"</f>
        <v>郑焕妃</v>
      </c>
      <c r="E101" s="6" t="str">
        <f t="shared" si="4"/>
        <v>女</v>
      </c>
    </row>
    <row r="102" spans="1:5" ht="30" customHeight="1">
      <c r="A102" s="6">
        <v>100</v>
      </c>
      <c r="B102" s="6" t="str">
        <f>"299420210526013207106940"</f>
        <v>299420210526013207106940</v>
      </c>
      <c r="C102" s="6" t="s">
        <v>7</v>
      </c>
      <c r="D102" s="6" t="str">
        <f>"王小萍"</f>
        <v>王小萍</v>
      </c>
      <c r="E102" s="6" t="str">
        <f t="shared" si="4"/>
        <v>女</v>
      </c>
    </row>
    <row r="103" spans="1:5" ht="30" customHeight="1">
      <c r="A103" s="6">
        <v>101</v>
      </c>
      <c r="B103" s="6" t="str">
        <f>"299420210526075207106966"</f>
        <v>299420210526075207106966</v>
      </c>
      <c r="C103" s="6" t="s">
        <v>7</v>
      </c>
      <c r="D103" s="6" t="str">
        <f>"庄海良"</f>
        <v>庄海良</v>
      </c>
      <c r="E103" s="6" t="str">
        <f t="shared" si="4"/>
        <v>女</v>
      </c>
    </row>
    <row r="104" spans="1:5" ht="30" customHeight="1">
      <c r="A104" s="6">
        <v>102</v>
      </c>
      <c r="B104" s="6" t="str">
        <f>"299420210526083358107015"</f>
        <v>299420210526083358107015</v>
      </c>
      <c r="C104" s="6" t="s">
        <v>7</v>
      </c>
      <c r="D104" s="6" t="str">
        <f>"王芳"</f>
        <v>王芳</v>
      </c>
      <c r="E104" s="6" t="str">
        <f t="shared" si="4"/>
        <v>女</v>
      </c>
    </row>
    <row r="105" spans="1:5" ht="30" customHeight="1">
      <c r="A105" s="6">
        <v>103</v>
      </c>
      <c r="B105" s="6" t="str">
        <f>"299420210526094010107146"</f>
        <v>299420210526094010107146</v>
      </c>
      <c r="C105" s="6" t="s">
        <v>7</v>
      </c>
      <c r="D105" s="6" t="str">
        <f>"甘芷瑜"</f>
        <v>甘芷瑜</v>
      </c>
      <c r="E105" s="6" t="str">
        <f t="shared" si="4"/>
        <v>女</v>
      </c>
    </row>
    <row r="106" spans="1:5" ht="30" customHeight="1">
      <c r="A106" s="6">
        <v>104</v>
      </c>
      <c r="B106" s="6" t="str">
        <f>"299420210526094430107159"</f>
        <v>299420210526094430107159</v>
      </c>
      <c r="C106" s="6" t="s">
        <v>7</v>
      </c>
      <c r="D106" s="6" t="str">
        <f>"王秋儿"</f>
        <v>王秋儿</v>
      </c>
      <c r="E106" s="6" t="str">
        <f t="shared" si="4"/>
        <v>女</v>
      </c>
    </row>
    <row r="107" spans="1:5" ht="30" customHeight="1">
      <c r="A107" s="6">
        <v>105</v>
      </c>
      <c r="B107" s="6" t="str">
        <f>"299420210526104546107314"</f>
        <v>299420210526104546107314</v>
      </c>
      <c r="C107" s="6" t="s">
        <v>7</v>
      </c>
      <c r="D107" s="6" t="str">
        <f>"高芳彬"</f>
        <v>高芳彬</v>
      </c>
      <c r="E107" s="6" t="str">
        <f>"男"</f>
        <v>男</v>
      </c>
    </row>
    <row r="108" spans="1:5" ht="30" customHeight="1">
      <c r="A108" s="6">
        <v>106</v>
      </c>
      <c r="B108" s="6" t="str">
        <f>"299420210526110414107361"</f>
        <v>299420210526110414107361</v>
      </c>
      <c r="C108" s="6" t="s">
        <v>7</v>
      </c>
      <c r="D108" s="6" t="str">
        <f>"李小雪"</f>
        <v>李小雪</v>
      </c>
      <c r="E108" s="6" t="str">
        <f aca="true" t="shared" si="5" ref="E108:E117">"女"</f>
        <v>女</v>
      </c>
    </row>
    <row r="109" spans="1:5" ht="30" customHeight="1">
      <c r="A109" s="6">
        <v>107</v>
      </c>
      <c r="B109" s="6" t="str">
        <f>"299420210526120421107477"</f>
        <v>299420210526120421107477</v>
      </c>
      <c r="C109" s="6" t="s">
        <v>7</v>
      </c>
      <c r="D109" s="6" t="str">
        <f>"邢思曼"</f>
        <v>邢思曼</v>
      </c>
      <c r="E109" s="6" t="str">
        <f t="shared" si="5"/>
        <v>女</v>
      </c>
    </row>
    <row r="110" spans="1:5" ht="30" customHeight="1">
      <c r="A110" s="6">
        <v>108</v>
      </c>
      <c r="B110" s="6" t="str">
        <f>"299420210526122712107517"</f>
        <v>299420210526122712107517</v>
      </c>
      <c r="C110" s="6" t="s">
        <v>7</v>
      </c>
      <c r="D110" s="6" t="str">
        <f>"冯玉香"</f>
        <v>冯玉香</v>
      </c>
      <c r="E110" s="6" t="str">
        <f t="shared" si="5"/>
        <v>女</v>
      </c>
    </row>
    <row r="111" spans="1:5" ht="30" customHeight="1">
      <c r="A111" s="6">
        <v>109</v>
      </c>
      <c r="B111" s="6" t="str">
        <f>"299420210526123213107528"</f>
        <v>299420210526123213107528</v>
      </c>
      <c r="C111" s="6" t="s">
        <v>7</v>
      </c>
      <c r="D111" s="6" t="str">
        <f>"陈泽川"</f>
        <v>陈泽川</v>
      </c>
      <c r="E111" s="6" t="str">
        <f t="shared" si="5"/>
        <v>女</v>
      </c>
    </row>
    <row r="112" spans="1:5" ht="30" customHeight="1">
      <c r="A112" s="6">
        <v>110</v>
      </c>
      <c r="B112" s="6" t="str">
        <f>"299420210526124514107562"</f>
        <v>299420210526124514107562</v>
      </c>
      <c r="C112" s="6" t="s">
        <v>7</v>
      </c>
      <c r="D112" s="6" t="str">
        <f>"邢维满"</f>
        <v>邢维满</v>
      </c>
      <c r="E112" s="6" t="str">
        <f t="shared" si="5"/>
        <v>女</v>
      </c>
    </row>
    <row r="113" spans="1:5" ht="30" customHeight="1">
      <c r="A113" s="6">
        <v>111</v>
      </c>
      <c r="B113" s="6" t="str">
        <f>"299420210526130327107617"</f>
        <v>299420210526130327107617</v>
      </c>
      <c r="C113" s="6" t="s">
        <v>7</v>
      </c>
      <c r="D113" s="6" t="str">
        <f>"吴思婷"</f>
        <v>吴思婷</v>
      </c>
      <c r="E113" s="6" t="str">
        <f t="shared" si="5"/>
        <v>女</v>
      </c>
    </row>
    <row r="114" spans="1:5" ht="30" customHeight="1">
      <c r="A114" s="6">
        <v>112</v>
      </c>
      <c r="B114" s="6" t="str">
        <f>"299420210526142154107674"</f>
        <v>299420210526142154107674</v>
      </c>
      <c r="C114" s="6" t="s">
        <v>7</v>
      </c>
      <c r="D114" s="6" t="str">
        <f>"李岩带"</f>
        <v>李岩带</v>
      </c>
      <c r="E114" s="6" t="str">
        <f t="shared" si="5"/>
        <v>女</v>
      </c>
    </row>
    <row r="115" spans="1:5" ht="30" customHeight="1">
      <c r="A115" s="6">
        <v>113</v>
      </c>
      <c r="B115" s="6" t="str">
        <f>"299420210526160721107873"</f>
        <v>299420210526160721107873</v>
      </c>
      <c r="C115" s="6" t="s">
        <v>7</v>
      </c>
      <c r="D115" s="6" t="str">
        <f>"黄秋丽"</f>
        <v>黄秋丽</v>
      </c>
      <c r="E115" s="6" t="str">
        <f t="shared" si="5"/>
        <v>女</v>
      </c>
    </row>
    <row r="116" spans="1:5" ht="30" customHeight="1">
      <c r="A116" s="6">
        <v>114</v>
      </c>
      <c r="B116" s="6" t="str">
        <f>"299420210526164719107945"</f>
        <v>299420210526164719107945</v>
      </c>
      <c r="C116" s="6" t="s">
        <v>7</v>
      </c>
      <c r="D116" s="6" t="str">
        <f>"王金雅"</f>
        <v>王金雅</v>
      </c>
      <c r="E116" s="6" t="str">
        <f t="shared" si="5"/>
        <v>女</v>
      </c>
    </row>
    <row r="117" spans="1:5" ht="30" customHeight="1">
      <c r="A117" s="6">
        <v>115</v>
      </c>
      <c r="B117" s="6" t="str">
        <f>"299420210526183754108143"</f>
        <v>299420210526183754108143</v>
      </c>
      <c r="C117" s="6" t="s">
        <v>7</v>
      </c>
      <c r="D117" s="6" t="str">
        <f>"吴霞梅"</f>
        <v>吴霞梅</v>
      </c>
      <c r="E117" s="6" t="str">
        <f t="shared" si="5"/>
        <v>女</v>
      </c>
    </row>
    <row r="118" spans="1:5" ht="30" customHeight="1">
      <c r="A118" s="6">
        <v>116</v>
      </c>
      <c r="B118" s="6" t="str">
        <f>"299420210526183926108146"</f>
        <v>299420210526183926108146</v>
      </c>
      <c r="C118" s="6" t="s">
        <v>7</v>
      </c>
      <c r="D118" s="6" t="str">
        <f>"曾其生"</f>
        <v>曾其生</v>
      </c>
      <c r="E118" s="6" t="str">
        <f>"男"</f>
        <v>男</v>
      </c>
    </row>
    <row r="119" spans="1:5" ht="30" customHeight="1">
      <c r="A119" s="6">
        <v>117</v>
      </c>
      <c r="B119" s="6" t="str">
        <f>"299420210526184024108147"</f>
        <v>299420210526184024108147</v>
      </c>
      <c r="C119" s="6" t="s">
        <v>7</v>
      </c>
      <c r="D119" s="6" t="str">
        <f>"陈惠娟"</f>
        <v>陈惠娟</v>
      </c>
      <c r="E119" s="6" t="str">
        <f>"女"</f>
        <v>女</v>
      </c>
    </row>
    <row r="120" spans="1:5" ht="30" customHeight="1">
      <c r="A120" s="6">
        <v>118</v>
      </c>
      <c r="B120" s="6" t="str">
        <f>"299420210526190339108187"</f>
        <v>299420210526190339108187</v>
      </c>
      <c r="C120" s="6" t="s">
        <v>7</v>
      </c>
      <c r="D120" s="6" t="str">
        <f>"倪胜永"</f>
        <v>倪胜永</v>
      </c>
      <c r="E120" s="6" t="str">
        <f>"男"</f>
        <v>男</v>
      </c>
    </row>
    <row r="121" spans="1:5" ht="30" customHeight="1">
      <c r="A121" s="6">
        <v>119</v>
      </c>
      <c r="B121" s="6" t="str">
        <f>"299420210526201906108318"</f>
        <v>299420210526201906108318</v>
      </c>
      <c r="C121" s="6" t="s">
        <v>7</v>
      </c>
      <c r="D121" s="6" t="str">
        <f>"林朝怡"</f>
        <v>林朝怡</v>
      </c>
      <c r="E121" s="6" t="str">
        <f>"女"</f>
        <v>女</v>
      </c>
    </row>
    <row r="122" spans="1:5" ht="30" customHeight="1">
      <c r="A122" s="6">
        <v>120</v>
      </c>
      <c r="B122" s="6" t="str">
        <f>"299420210526205932108393"</f>
        <v>299420210526205932108393</v>
      </c>
      <c r="C122" s="6" t="s">
        <v>7</v>
      </c>
      <c r="D122" s="6" t="str">
        <f>"林怡"</f>
        <v>林怡</v>
      </c>
      <c r="E122" s="6" t="str">
        <f>"女"</f>
        <v>女</v>
      </c>
    </row>
    <row r="123" spans="1:5" ht="30" customHeight="1">
      <c r="A123" s="6">
        <v>121</v>
      </c>
      <c r="B123" s="6" t="str">
        <f>"299420210526211044108419"</f>
        <v>299420210526211044108419</v>
      </c>
      <c r="C123" s="6" t="s">
        <v>7</v>
      </c>
      <c r="D123" s="6" t="str">
        <f>"许阳润"</f>
        <v>许阳润</v>
      </c>
      <c r="E123" s="6" t="str">
        <f>"男"</f>
        <v>男</v>
      </c>
    </row>
    <row r="124" spans="1:5" ht="30" customHeight="1">
      <c r="A124" s="6">
        <v>122</v>
      </c>
      <c r="B124" s="6" t="str">
        <f>"299420210527102434109042"</f>
        <v>299420210527102434109042</v>
      </c>
      <c r="C124" s="6" t="s">
        <v>7</v>
      </c>
      <c r="D124" s="6" t="str">
        <f>"蔡顺敏"</f>
        <v>蔡顺敏</v>
      </c>
      <c r="E124" s="6" t="str">
        <f aca="true" t="shared" si="6" ref="E124:E138">"女"</f>
        <v>女</v>
      </c>
    </row>
    <row r="125" spans="1:5" ht="30" customHeight="1">
      <c r="A125" s="6">
        <v>123</v>
      </c>
      <c r="B125" s="6" t="str">
        <f>"299420210527111020109129"</f>
        <v>299420210527111020109129</v>
      </c>
      <c r="C125" s="6" t="s">
        <v>7</v>
      </c>
      <c r="D125" s="6" t="str">
        <f>"陈昕颖"</f>
        <v>陈昕颖</v>
      </c>
      <c r="E125" s="6" t="str">
        <f t="shared" si="6"/>
        <v>女</v>
      </c>
    </row>
    <row r="126" spans="1:5" ht="30" customHeight="1">
      <c r="A126" s="6">
        <v>124</v>
      </c>
      <c r="B126" s="6" t="str">
        <f>"299420210527111706109138"</f>
        <v>299420210527111706109138</v>
      </c>
      <c r="C126" s="6" t="s">
        <v>7</v>
      </c>
      <c r="D126" s="6" t="str">
        <f>"林若君"</f>
        <v>林若君</v>
      </c>
      <c r="E126" s="6" t="str">
        <f t="shared" si="6"/>
        <v>女</v>
      </c>
    </row>
    <row r="127" spans="1:5" ht="30" customHeight="1">
      <c r="A127" s="6">
        <v>125</v>
      </c>
      <c r="B127" s="6" t="str">
        <f>"299420210527112046109144"</f>
        <v>299420210527112046109144</v>
      </c>
      <c r="C127" s="6" t="s">
        <v>7</v>
      </c>
      <c r="D127" s="6" t="str">
        <f>"黄慧琳"</f>
        <v>黄慧琳</v>
      </c>
      <c r="E127" s="6" t="str">
        <f t="shared" si="6"/>
        <v>女</v>
      </c>
    </row>
    <row r="128" spans="1:5" ht="30" customHeight="1">
      <c r="A128" s="6">
        <v>126</v>
      </c>
      <c r="B128" s="6" t="str">
        <f>"299420210527113444109166"</f>
        <v>299420210527113444109166</v>
      </c>
      <c r="C128" s="6" t="s">
        <v>7</v>
      </c>
      <c r="D128" s="6" t="str">
        <f>"符丽菲"</f>
        <v>符丽菲</v>
      </c>
      <c r="E128" s="6" t="str">
        <f t="shared" si="6"/>
        <v>女</v>
      </c>
    </row>
    <row r="129" spans="1:5" ht="30" customHeight="1">
      <c r="A129" s="6">
        <v>127</v>
      </c>
      <c r="B129" s="6" t="str">
        <f>"299420210527113803109172"</f>
        <v>299420210527113803109172</v>
      </c>
      <c r="C129" s="6" t="s">
        <v>7</v>
      </c>
      <c r="D129" s="6" t="str">
        <f>"莫小丽"</f>
        <v>莫小丽</v>
      </c>
      <c r="E129" s="6" t="str">
        <f t="shared" si="6"/>
        <v>女</v>
      </c>
    </row>
    <row r="130" spans="1:5" ht="30" customHeight="1">
      <c r="A130" s="6">
        <v>128</v>
      </c>
      <c r="B130" s="6" t="str">
        <f>"299420210527114347109179"</f>
        <v>299420210527114347109179</v>
      </c>
      <c r="C130" s="6" t="s">
        <v>7</v>
      </c>
      <c r="D130" s="6" t="str">
        <f>"董柠柠"</f>
        <v>董柠柠</v>
      </c>
      <c r="E130" s="6" t="str">
        <f t="shared" si="6"/>
        <v>女</v>
      </c>
    </row>
    <row r="131" spans="1:5" ht="30" customHeight="1">
      <c r="A131" s="6">
        <v>129</v>
      </c>
      <c r="B131" s="6" t="str">
        <f>"299420210527115355109190"</f>
        <v>299420210527115355109190</v>
      </c>
      <c r="C131" s="6" t="s">
        <v>7</v>
      </c>
      <c r="D131" s="6" t="str">
        <f>"秦海霞"</f>
        <v>秦海霞</v>
      </c>
      <c r="E131" s="6" t="str">
        <f t="shared" si="6"/>
        <v>女</v>
      </c>
    </row>
    <row r="132" spans="1:5" ht="30" customHeight="1">
      <c r="A132" s="6">
        <v>130</v>
      </c>
      <c r="B132" s="6" t="str">
        <f>"299420210527161224109537"</f>
        <v>299420210527161224109537</v>
      </c>
      <c r="C132" s="6" t="s">
        <v>7</v>
      </c>
      <c r="D132" s="6" t="str">
        <f>"刘海嫚"</f>
        <v>刘海嫚</v>
      </c>
      <c r="E132" s="6" t="str">
        <f t="shared" si="6"/>
        <v>女</v>
      </c>
    </row>
    <row r="133" spans="1:5" ht="30" customHeight="1">
      <c r="A133" s="6">
        <v>131</v>
      </c>
      <c r="B133" s="6" t="str">
        <f>"299420210527163826109585"</f>
        <v>299420210527163826109585</v>
      </c>
      <c r="C133" s="6" t="s">
        <v>7</v>
      </c>
      <c r="D133" s="6" t="str">
        <f>"杜丹丹"</f>
        <v>杜丹丹</v>
      </c>
      <c r="E133" s="6" t="str">
        <f t="shared" si="6"/>
        <v>女</v>
      </c>
    </row>
    <row r="134" spans="1:5" ht="30" customHeight="1">
      <c r="A134" s="6">
        <v>132</v>
      </c>
      <c r="B134" s="6" t="str">
        <f>"299420210527163831109586"</f>
        <v>299420210527163831109586</v>
      </c>
      <c r="C134" s="6" t="s">
        <v>7</v>
      </c>
      <c r="D134" s="6" t="str">
        <f>"李欣欣"</f>
        <v>李欣欣</v>
      </c>
      <c r="E134" s="6" t="str">
        <f t="shared" si="6"/>
        <v>女</v>
      </c>
    </row>
    <row r="135" spans="1:5" ht="30" customHeight="1">
      <c r="A135" s="6">
        <v>133</v>
      </c>
      <c r="B135" s="6" t="str">
        <f>"299420210527164525109602"</f>
        <v>299420210527164525109602</v>
      </c>
      <c r="C135" s="6" t="s">
        <v>7</v>
      </c>
      <c r="D135" s="6" t="str">
        <f>"王梨丹"</f>
        <v>王梨丹</v>
      </c>
      <c r="E135" s="6" t="str">
        <f t="shared" si="6"/>
        <v>女</v>
      </c>
    </row>
    <row r="136" spans="1:5" ht="30" customHeight="1">
      <c r="A136" s="6">
        <v>134</v>
      </c>
      <c r="B136" s="6" t="str">
        <f>"299420210527164616109605"</f>
        <v>299420210527164616109605</v>
      </c>
      <c r="C136" s="6" t="s">
        <v>7</v>
      </c>
      <c r="D136" s="6" t="str">
        <f>"陈嘉琳"</f>
        <v>陈嘉琳</v>
      </c>
      <c r="E136" s="6" t="str">
        <f t="shared" si="6"/>
        <v>女</v>
      </c>
    </row>
    <row r="137" spans="1:5" ht="30" customHeight="1">
      <c r="A137" s="6">
        <v>135</v>
      </c>
      <c r="B137" s="6" t="str">
        <f>"299420210527165720109632"</f>
        <v>299420210527165720109632</v>
      </c>
      <c r="C137" s="6" t="s">
        <v>7</v>
      </c>
      <c r="D137" s="6" t="str">
        <f>"吕昭慧"</f>
        <v>吕昭慧</v>
      </c>
      <c r="E137" s="6" t="str">
        <f t="shared" si="6"/>
        <v>女</v>
      </c>
    </row>
    <row r="138" spans="1:5" ht="30" customHeight="1">
      <c r="A138" s="6">
        <v>136</v>
      </c>
      <c r="B138" s="6" t="str">
        <f>"299420210527175851109718"</f>
        <v>299420210527175851109718</v>
      </c>
      <c r="C138" s="6" t="s">
        <v>7</v>
      </c>
      <c r="D138" s="6" t="str">
        <f>"李星星"</f>
        <v>李星星</v>
      </c>
      <c r="E138" s="6" t="str">
        <f t="shared" si="6"/>
        <v>女</v>
      </c>
    </row>
    <row r="139" spans="1:5" ht="30" customHeight="1">
      <c r="A139" s="6">
        <v>137</v>
      </c>
      <c r="B139" s="6" t="str">
        <f>"299420210527184910109774"</f>
        <v>299420210527184910109774</v>
      </c>
      <c r="C139" s="6" t="s">
        <v>7</v>
      </c>
      <c r="D139" s="6" t="str">
        <f>"邢增高"</f>
        <v>邢增高</v>
      </c>
      <c r="E139" s="6" t="str">
        <f>"男"</f>
        <v>男</v>
      </c>
    </row>
    <row r="140" spans="1:5" ht="30" customHeight="1">
      <c r="A140" s="6">
        <v>138</v>
      </c>
      <c r="B140" s="6" t="str">
        <f>"299420210527202342109880"</f>
        <v>299420210527202342109880</v>
      </c>
      <c r="C140" s="6" t="s">
        <v>7</v>
      </c>
      <c r="D140" s="6" t="str">
        <f>"周林琳"</f>
        <v>周林琳</v>
      </c>
      <c r="E140" s="6" t="str">
        <f>"女"</f>
        <v>女</v>
      </c>
    </row>
    <row r="141" spans="1:5" ht="30" customHeight="1">
      <c r="A141" s="6">
        <v>139</v>
      </c>
      <c r="B141" s="6" t="str">
        <f>"299420210527204306109908"</f>
        <v>299420210527204306109908</v>
      </c>
      <c r="C141" s="6" t="s">
        <v>7</v>
      </c>
      <c r="D141" s="6" t="str">
        <f>"黄秋婵"</f>
        <v>黄秋婵</v>
      </c>
      <c r="E141" s="6" t="str">
        <f>"女"</f>
        <v>女</v>
      </c>
    </row>
    <row r="142" spans="1:5" ht="30" customHeight="1">
      <c r="A142" s="6">
        <v>140</v>
      </c>
      <c r="B142" s="6" t="str">
        <f>"299420210527204626109911"</f>
        <v>299420210527204626109911</v>
      </c>
      <c r="C142" s="6" t="s">
        <v>7</v>
      </c>
      <c r="D142" s="6" t="str">
        <f>"何爱敏"</f>
        <v>何爱敏</v>
      </c>
      <c r="E142" s="6" t="str">
        <f>"女"</f>
        <v>女</v>
      </c>
    </row>
    <row r="143" spans="1:5" ht="30" customHeight="1">
      <c r="A143" s="6">
        <v>141</v>
      </c>
      <c r="B143" s="6" t="str">
        <f>"299420210527234819110148"</f>
        <v>299420210527234819110148</v>
      </c>
      <c r="C143" s="6" t="s">
        <v>7</v>
      </c>
      <c r="D143" s="6" t="str">
        <f>"吴子琪"</f>
        <v>吴子琪</v>
      </c>
      <c r="E143" s="6" t="str">
        <f>"男"</f>
        <v>男</v>
      </c>
    </row>
    <row r="144" spans="1:5" ht="30" customHeight="1">
      <c r="A144" s="6">
        <v>142</v>
      </c>
      <c r="B144" s="6" t="str">
        <f>"299420210528001539110158"</f>
        <v>299420210528001539110158</v>
      </c>
      <c r="C144" s="6" t="s">
        <v>7</v>
      </c>
      <c r="D144" s="6" t="str">
        <f>"石翠引"</f>
        <v>石翠引</v>
      </c>
      <c r="E144" s="6" t="str">
        <f>"女"</f>
        <v>女</v>
      </c>
    </row>
    <row r="145" spans="1:5" ht="30" customHeight="1">
      <c r="A145" s="6">
        <v>143</v>
      </c>
      <c r="B145" s="6" t="str">
        <f>"299420210528083044110215"</f>
        <v>299420210528083044110215</v>
      </c>
      <c r="C145" s="6" t="s">
        <v>7</v>
      </c>
      <c r="D145" s="6" t="str">
        <f>"王少完"</f>
        <v>王少完</v>
      </c>
      <c r="E145" s="6" t="str">
        <f>"女"</f>
        <v>女</v>
      </c>
    </row>
    <row r="146" spans="1:5" ht="30" customHeight="1">
      <c r="A146" s="6">
        <v>144</v>
      </c>
      <c r="B146" s="6" t="str">
        <f>"299420210528085134110247"</f>
        <v>299420210528085134110247</v>
      </c>
      <c r="C146" s="6" t="s">
        <v>7</v>
      </c>
      <c r="D146" s="6" t="str">
        <f>"王艺"</f>
        <v>王艺</v>
      </c>
      <c r="E146" s="6" t="str">
        <f>"男"</f>
        <v>男</v>
      </c>
    </row>
    <row r="147" spans="1:5" ht="30" customHeight="1">
      <c r="A147" s="6">
        <v>145</v>
      </c>
      <c r="B147" s="6" t="str">
        <f>"299420210528085635110250"</f>
        <v>299420210528085635110250</v>
      </c>
      <c r="C147" s="6" t="s">
        <v>7</v>
      </c>
      <c r="D147" s="6" t="str">
        <f>"陈蕊"</f>
        <v>陈蕊</v>
      </c>
      <c r="E147" s="6" t="str">
        <f>"女"</f>
        <v>女</v>
      </c>
    </row>
    <row r="148" spans="1:5" ht="30" customHeight="1">
      <c r="A148" s="6">
        <v>146</v>
      </c>
      <c r="B148" s="6" t="str">
        <f>"299420210528105701110476"</f>
        <v>299420210528105701110476</v>
      </c>
      <c r="C148" s="6" t="s">
        <v>7</v>
      </c>
      <c r="D148" s="6" t="str">
        <f>"叶秋霞"</f>
        <v>叶秋霞</v>
      </c>
      <c r="E148" s="6" t="str">
        <f>"女"</f>
        <v>女</v>
      </c>
    </row>
    <row r="149" spans="1:5" ht="30" customHeight="1">
      <c r="A149" s="6">
        <v>147</v>
      </c>
      <c r="B149" s="6" t="str">
        <f>"299420210528113647110537"</f>
        <v>299420210528113647110537</v>
      </c>
      <c r="C149" s="6" t="s">
        <v>7</v>
      </c>
      <c r="D149" s="6" t="str">
        <f>"张裕正"</f>
        <v>张裕正</v>
      </c>
      <c r="E149" s="6" t="str">
        <f>"男"</f>
        <v>男</v>
      </c>
    </row>
    <row r="150" spans="1:5" ht="30" customHeight="1">
      <c r="A150" s="6">
        <v>148</v>
      </c>
      <c r="B150" s="6" t="str">
        <f>"299420210528122320110585"</f>
        <v>299420210528122320110585</v>
      </c>
      <c r="C150" s="6" t="s">
        <v>7</v>
      </c>
      <c r="D150" s="6" t="str">
        <f>"陆梦雅"</f>
        <v>陆梦雅</v>
      </c>
      <c r="E150" s="6" t="str">
        <f aca="true" t="shared" si="7" ref="E150:E158">"女"</f>
        <v>女</v>
      </c>
    </row>
    <row r="151" spans="1:5" ht="30" customHeight="1">
      <c r="A151" s="6">
        <v>149</v>
      </c>
      <c r="B151" s="6" t="str">
        <f>"299420210528130248110660"</f>
        <v>299420210528130248110660</v>
      </c>
      <c r="C151" s="6" t="s">
        <v>7</v>
      </c>
      <c r="D151" s="6" t="str">
        <f>"夏才芯"</f>
        <v>夏才芯</v>
      </c>
      <c r="E151" s="6" t="str">
        <f t="shared" si="7"/>
        <v>女</v>
      </c>
    </row>
    <row r="152" spans="1:5" ht="30" customHeight="1">
      <c r="A152" s="6">
        <v>150</v>
      </c>
      <c r="B152" s="6" t="str">
        <f>"299420210528180708111084"</f>
        <v>299420210528180708111084</v>
      </c>
      <c r="C152" s="6" t="s">
        <v>7</v>
      </c>
      <c r="D152" s="6" t="str">
        <f>"苏志媛"</f>
        <v>苏志媛</v>
      </c>
      <c r="E152" s="6" t="str">
        <f t="shared" si="7"/>
        <v>女</v>
      </c>
    </row>
    <row r="153" spans="1:5" ht="30" customHeight="1">
      <c r="A153" s="6">
        <v>151</v>
      </c>
      <c r="B153" s="6" t="str">
        <f>"299420210528214748111278"</f>
        <v>299420210528214748111278</v>
      </c>
      <c r="C153" s="6" t="s">
        <v>7</v>
      </c>
      <c r="D153" s="6" t="str">
        <f>"黄婷婷"</f>
        <v>黄婷婷</v>
      </c>
      <c r="E153" s="6" t="str">
        <f t="shared" si="7"/>
        <v>女</v>
      </c>
    </row>
    <row r="154" spans="1:5" ht="30" customHeight="1">
      <c r="A154" s="6">
        <v>152</v>
      </c>
      <c r="B154" s="6" t="str">
        <f>"299420210529094718111458"</f>
        <v>299420210529094718111458</v>
      </c>
      <c r="C154" s="6" t="s">
        <v>7</v>
      </c>
      <c r="D154" s="6" t="str">
        <f>"文瑜"</f>
        <v>文瑜</v>
      </c>
      <c r="E154" s="6" t="str">
        <f t="shared" si="7"/>
        <v>女</v>
      </c>
    </row>
    <row r="155" spans="1:5" ht="30" customHeight="1">
      <c r="A155" s="6">
        <v>153</v>
      </c>
      <c r="B155" s="6" t="str">
        <f>"299420210529120526111592"</f>
        <v>299420210529120526111592</v>
      </c>
      <c r="C155" s="6" t="s">
        <v>7</v>
      </c>
      <c r="D155" s="6" t="str">
        <f>"禤明玥"</f>
        <v>禤明玥</v>
      </c>
      <c r="E155" s="6" t="str">
        <f t="shared" si="7"/>
        <v>女</v>
      </c>
    </row>
    <row r="156" spans="1:5" ht="30" customHeight="1">
      <c r="A156" s="6">
        <v>154</v>
      </c>
      <c r="B156" s="6" t="str">
        <f>"299420210529131245111637"</f>
        <v>299420210529131245111637</v>
      </c>
      <c r="C156" s="6" t="s">
        <v>7</v>
      </c>
      <c r="D156" s="6" t="str">
        <f>"容端"</f>
        <v>容端</v>
      </c>
      <c r="E156" s="6" t="str">
        <f t="shared" si="7"/>
        <v>女</v>
      </c>
    </row>
    <row r="157" spans="1:5" ht="30" customHeight="1">
      <c r="A157" s="6">
        <v>155</v>
      </c>
      <c r="B157" s="6" t="str">
        <f>"299420210529132441111648"</f>
        <v>299420210529132441111648</v>
      </c>
      <c r="C157" s="6" t="s">
        <v>7</v>
      </c>
      <c r="D157" s="6" t="str">
        <f>"林建娥"</f>
        <v>林建娥</v>
      </c>
      <c r="E157" s="6" t="str">
        <f t="shared" si="7"/>
        <v>女</v>
      </c>
    </row>
    <row r="158" spans="1:5" ht="30" customHeight="1">
      <c r="A158" s="6">
        <v>156</v>
      </c>
      <c r="B158" s="6" t="str">
        <f>"299420210529133500111655"</f>
        <v>299420210529133500111655</v>
      </c>
      <c r="C158" s="6" t="s">
        <v>7</v>
      </c>
      <c r="D158" s="6" t="str">
        <f>"陈婷"</f>
        <v>陈婷</v>
      </c>
      <c r="E158" s="6" t="str">
        <f t="shared" si="7"/>
        <v>女</v>
      </c>
    </row>
    <row r="159" spans="1:5" ht="30" customHeight="1">
      <c r="A159" s="6">
        <v>157</v>
      </c>
      <c r="B159" s="6" t="str">
        <f>"299420210529134255111660"</f>
        <v>299420210529134255111660</v>
      </c>
      <c r="C159" s="6" t="s">
        <v>7</v>
      </c>
      <c r="D159" s="6" t="str">
        <f>"龙俊国"</f>
        <v>龙俊国</v>
      </c>
      <c r="E159" s="6" t="str">
        <f>"男"</f>
        <v>男</v>
      </c>
    </row>
    <row r="160" spans="1:5" ht="30" customHeight="1">
      <c r="A160" s="6">
        <v>158</v>
      </c>
      <c r="B160" s="6" t="str">
        <f>"299420210529152903111715"</f>
        <v>299420210529152903111715</v>
      </c>
      <c r="C160" s="6" t="s">
        <v>7</v>
      </c>
      <c r="D160" s="6" t="str">
        <f>"万广珍"</f>
        <v>万广珍</v>
      </c>
      <c r="E160" s="6" t="str">
        <f>"女"</f>
        <v>女</v>
      </c>
    </row>
    <row r="161" spans="1:5" ht="30" customHeight="1">
      <c r="A161" s="6">
        <v>159</v>
      </c>
      <c r="B161" s="6" t="str">
        <f>"299420210529170849111774"</f>
        <v>299420210529170849111774</v>
      </c>
      <c r="C161" s="6" t="s">
        <v>7</v>
      </c>
      <c r="D161" s="6" t="str">
        <f>"李康"</f>
        <v>李康</v>
      </c>
      <c r="E161" s="6" t="str">
        <f>"男"</f>
        <v>男</v>
      </c>
    </row>
    <row r="162" spans="1:5" ht="30" customHeight="1">
      <c r="A162" s="6">
        <v>160</v>
      </c>
      <c r="B162" s="6" t="str">
        <f>"299420210529180509111806"</f>
        <v>299420210529180509111806</v>
      </c>
      <c r="C162" s="6" t="s">
        <v>7</v>
      </c>
      <c r="D162" s="6" t="str">
        <f>"骆华转"</f>
        <v>骆华转</v>
      </c>
      <c r="E162" s="6" t="str">
        <f aca="true" t="shared" si="8" ref="E162:E188">"女"</f>
        <v>女</v>
      </c>
    </row>
    <row r="163" spans="1:5" ht="30" customHeight="1">
      <c r="A163" s="6">
        <v>161</v>
      </c>
      <c r="B163" s="6" t="str">
        <f>"299420210529184850111830"</f>
        <v>299420210529184850111830</v>
      </c>
      <c r="C163" s="6" t="s">
        <v>7</v>
      </c>
      <c r="D163" s="6" t="str">
        <f>"韩海燕"</f>
        <v>韩海燕</v>
      </c>
      <c r="E163" s="6" t="str">
        <f t="shared" si="8"/>
        <v>女</v>
      </c>
    </row>
    <row r="164" spans="1:5" ht="30" customHeight="1">
      <c r="A164" s="6">
        <v>162</v>
      </c>
      <c r="B164" s="6" t="str">
        <f>"299420210530004517112039"</f>
        <v>299420210530004517112039</v>
      </c>
      <c r="C164" s="6" t="s">
        <v>7</v>
      </c>
      <c r="D164" s="6" t="str">
        <f>"路畅"</f>
        <v>路畅</v>
      </c>
      <c r="E164" s="6" t="str">
        <f t="shared" si="8"/>
        <v>女</v>
      </c>
    </row>
    <row r="165" spans="1:5" ht="30" customHeight="1">
      <c r="A165" s="6">
        <v>163</v>
      </c>
      <c r="B165" s="6" t="str">
        <f>"299420210530110817112195"</f>
        <v>299420210530110817112195</v>
      </c>
      <c r="C165" s="6" t="s">
        <v>7</v>
      </c>
      <c r="D165" s="6" t="str">
        <f>"谢丽许"</f>
        <v>谢丽许</v>
      </c>
      <c r="E165" s="6" t="str">
        <f t="shared" si="8"/>
        <v>女</v>
      </c>
    </row>
    <row r="166" spans="1:5" ht="30" customHeight="1">
      <c r="A166" s="6">
        <v>164</v>
      </c>
      <c r="B166" s="6" t="str">
        <f>"299420210530111807112204"</f>
        <v>299420210530111807112204</v>
      </c>
      <c r="C166" s="6" t="s">
        <v>7</v>
      </c>
      <c r="D166" s="6" t="str">
        <f>"王雯"</f>
        <v>王雯</v>
      </c>
      <c r="E166" s="6" t="str">
        <f t="shared" si="8"/>
        <v>女</v>
      </c>
    </row>
    <row r="167" spans="1:5" ht="30" customHeight="1">
      <c r="A167" s="6">
        <v>165</v>
      </c>
      <c r="B167" s="6" t="str">
        <f>"299420210530210423112660"</f>
        <v>299420210530210423112660</v>
      </c>
      <c r="C167" s="6" t="s">
        <v>7</v>
      </c>
      <c r="D167" s="6" t="str">
        <f>"邓依"</f>
        <v>邓依</v>
      </c>
      <c r="E167" s="6" t="str">
        <f t="shared" si="8"/>
        <v>女</v>
      </c>
    </row>
    <row r="168" spans="1:5" ht="30" customHeight="1">
      <c r="A168" s="6">
        <v>166</v>
      </c>
      <c r="B168" s="6" t="str">
        <f>"299420210530235535112870"</f>
        <v>299420210530235535112870</v>
      </c>
      <c r="C168" s="6" t="s">
        <v>7</v>
      </c>
      <c r="D168" s="6" t="str">
        <f>"王丽君"</f>
        <v>王丽君</v>
      </c>
      <c r="E168" s="6" t="str">
        <f t="shared" si="8"/>
        <v>女</v>
      </c>
    </row>
    <row r="169" spans="1:5" ht="30" customHeight="1">
      <c r="A169" s="6">
        <v>167</v>
      </c>
      <c r="B169" s="6" t="str">
        <f>"299420210531080812112946"</f>
        <v>299420210531080812112946</v>
      </c>
      <c r="C169" s="6" t="s">
        <v>7</v>
      </c>
      <c r="D169" s="6" t="str">
        <f>"冯丹丹"</f>
        <v>冯丹丹</v>
      </c>
      <c r="E169" s="6" t="str">
        <f t="shared" si="8"/>
        <v>女</v>
      </c>
    </row>
    <row r="170" spans="1:5" ht="30" customHeight="1">
      <c r="A170" s="6">
        <v>168</v>
      </c>
      <c r="B170" s="6" t="str">
        <f>"299420210531082119112951"</f>
        <v>299420210531082119112951</v>
      </c>
      <c r="C170" s="6" t="s">
        <v>7</v>
      </c>
      <c r="D170" s="6" t="str">
        <f>"吴琳"</f>
        <v>吴琳</v>
      </c>
      <c r="E170" s="6" t="str">
        <f t="shared" si="8"/>
        <v>女</v>
      </c>
    </row>
    <row r="171" spans="1:5" ht="30" customHeight="1">
      <c r="A171" s="6">
        <v>169</v>
      </c>
      <c r="B171" s="6" t="str">
        <f>"299420210531111507113236"</f>
        <v>299420210531111507113236</v>
      </c>
      <c r="C171" s="6" t="s">
        <v>7</v>
      </c>
      <c r="D171" s="6" t="str">
        <f>"朱娇阳"</f>
        <v>朱娇阳</v>
      </c>
      <c r="E171" s="6" t="str">
        <f t="shared" si="8"/>
        <v>女</v>
      </c>
    </row>
    <row r="172" spans="1:5" ht="30" customHeight="1">
      <c r="A172" s="6">
        <v>170</v>
      </c>
      <c r="B172" s="6" t="str">
        <f>"299420210531144310113496"</f>
        <v>299420210531144310113496</v>
      </c>
      <c r="C172" s="6" t="s">
        <v>7</v>
      </c>
      <c r="D172" s="6" t="str">
        <f>"陈艳婷"</f>
        <v>陈艳婷</v>
      </c>
      <c r="E172" s="6" t="str">
        <f t="shared" si="8"/>
        <v>女</v>
      </c>
    </row>
    <row r="173" spans="1:5" ht="30" customHeight="1">
      <c r="A173" s="6">
        <v>171</v>
      </c>
      <c r="B173" s="6" t="str">
        <f>"299420210531153754113589"</f>
        <v>299420210531153754113589</v>
      </c>
      <c r="C173" s="6" t="s">
        <v>7</v>
      </c>
      <c r="D173" s="6" t="str">
        <f>"陈尾教"</f>
        <v>陈尾教</v>
      </c>
      <c r="E173" s="6" t="str">
        <f t="shared" si="8"/>
        <v>女</v>
      </c>
    </row>
    <row r="174" spans="1:5" ht="30" customHeight="1">
      <c r="A174" s="6">
        <v>172</v>
      </c>
      <c r="B174" s="6" t="str">
        <f>"299420210531164035113683"</f>
        <v>299420210531164035113683</v>
      </c>
      <c r="C174" s="6" t="s">
        <v>7</v>
      </c>
      <c r="D174" s="6" t="str">
        <f>"陈立淑"</f>
        <v>陈立淑</v>
      </c>
      <c r="E174" s="6" t="str">
        <f t="shared" si="8"/>
        <v>女</v>
      </c>
    </row>
    <row r="175" spans="1:5" ht="30" customHeight="1">
      <c r="A175" s="6">
        <v>173</v>
      </c>
      <c r="B175" s="6" t="str">
        <f>"299420210525090135104246"</f>
        <v>299420210525090135104246</v>
      </c>
      <c r="C175" s="6" t="s">
        <v>8</v>
      </c>
      <c r="D175" s="6" t="str">
        <f>"麦春菊"</f>
        <v>麦春菊</v>
      </c>
      <c r="E175" s="6" t="str">
        <f t="shared" si="8"/>
        <v>女</v>
      </c>
    </row>
    <row r="176" spans="1:5" ht="30" customHeight="1">
      <c r="A176" s="6">
        <v>174</v>
      </c>
      <c r="B176" s="6" t="str">
        <f>"299420210525090141104248"</f>
        <v>299420210525090141104248</v>
      </c>
      <c r="C176" s="6" t="s">
        <v>8</v>
      </c>
      <c r="D176" s="6" t="str">
        <f>"王小山"</f>
        <v>王小山</v>
      </c>
      <c r="E176" s="6" t="str">
        <f t="shared" si="8"/>
        <v>女</v>
      </c>
    </row>
    <row r="177" spans="1:5" ht="30" customHeight="1">
      <c r="A177" s="6">
        <v>175</v>
      </c>
      <c r="B177" s="6" t="str">
        <f>"299420210525090236104253"</f>
        <v>299420210525090236104253</v>
      </c>
      <c r="C177" s="6" t="s">
        <v>8</v>
      </c>
      <c r="D177" s="6" t="str">
        <f>"李琳琳"</f>
        <v>李琳琳</v>
      </c>
      <c r="E177" s="6" t="str">
        <f t="shared" si="8"/>
        <v>女</v>
      </c>
    </row>
    <row r="178" spans="1:5" ht="30" customHeight="1">
      <c r="A178" s="6">
        <v>176</v>
      </c>
      <c r="B178" s="6" t="str">
        <f>"299420210525090321104261"</f>
        <v>299420210525090321104261</v>
      </c>
      <c r="C178" s="6" t="s">
        <v>8</v>
      </c>
      <c r="D178" s="6" t="str">
        <f>"周舟"</f>
        <v>周舟</v>
      </c>
      <c r="E178" s="6" t="str">
        <f t="shared" si="8"/>
        <v>女</v>
      </c>
    </row>
    <row r="179" spans="1:5" ht="30" customHeight="1">
      <c r="A179" s="6">
        <v>177</v>
      </c>
      <c r="B179" s="6" t="str">
        <f>"299420210525091057104315"</f>
        <v>299420210525091057104315</v>
      </c>
      <c r="C179" s="6" t="s">
        <v>8</v>
      </c>
      <c r="D179" s="6" t="str">
        <f>"陈秋萍"</f>
        <v>陈秋萍</v>
      </c>
      <c r="E179" s="6" t="str">
        <f t="shared" si="8"/>
        <v>女</v>
      </c>
    </row>
    <row r="180" spans="1:5" ht="30" customHeight="1">
      <c r="A180" s="6">
        <v>178</v>
      </c>
      <c r="B180" s="6" t="str">
        <f>"299420210525092007104373"</f>
        <v>299420210525092007104373</v>
      </c>
      <c r="C180" s="6" t="s">
        <v>8</v>
      </c>
      <c r="D180" s="6" t="str">
        <f>"郑玲玲"</f>
        <v>郑玲玲</v>
      </c>
      <c r="E180" s="6" t="str">
        <f t="shared" si="8"/>
        <v>女</v>
      </c>
    </row>
    <row r="181" spans="1:5" ht="30" customHeight="1">
      <c r="A181" s="6">
        <v>179</v>
      </c>
      <c r="B181" s="6" t="str">
        <f>"299420210525092710104409"</f>
        <v>299420210525092710104409</v>
      </c>
      <c r="C181" s="6" t="s">
        <v>8</v>
      </c>
      <c r="D181" s="6" t="str">
        <f>"汪艳婷"</f>
        <v>汪艳婷</v>
      </c>
      <c r="E181" s="6" t="str">
        <f t="shared" si="8"/>
        <v>女</v>
      </c>
    </row>
    <row r="182" spans="1:5" ht="30" customHeight="1">
      <c r="A182" s="6">
        <v>180</v>
      </c>
      <c r="B182" s="6" t="str">
        <f>"299420210525092909104420"</f>
        <v>299420210525092909104420</v>
      </c>
      <c r="C182" s="6" t="s">
        <v>8</v>
      </c>
      <c r="D182" s="6" t="str">
        <f>"卢佳"</f>
        <v>卢佳</v>
      </c>
      <c r="E182" s="6" t="str">
        <f t="shared" si="8"/>
        <v>女</v>
      </c>
    </row>
    <row r="183" spans="1:5" ht="30" customHeight="1">
      <c r="A183" s="6">
        <v>181</v>
      </c>
      <c r="B183" s="6" t="str">
        <f>"299420210525093253104436"</f>
        <v>299420210525093253104436</v>
      </c>
      <c r="C183" s="6" t="s">
        <v>8</v>
      </c>
      <c r="D183" s="6" t="str">
        <f>"王景荟"</f>
        <v>王景荟</v>
      </c>
      <c r="E183" s="6" t="str">
        <f t="shared" si="8"/>
        <v>女</v>
      </c>
    </row>
    <row r="184" spans="1:5" ht="30" customHeight="1">
      <c r="A184" s="6">
        <v>182</v>
      </c>
      <c r="B184" s="6" t="str">
        <f>"299420210525094656104529"</f>
        <v>299420210525094656104529</v>
      </c>
      <c r="C184" s="6" t="s">
        <v>8</v>
      </c>
      <c r="D184" s="6" t="str">
        <f>"郑晓丹"</f>
        <v>郑晓丹</v>
      </c>
      <c r="E184" s="6" t="str">
        <f t="shared" si="8"/>
        <v>女</v>
      </c>
    </row>
    <row r="185" spans="1:5" ht="30" customHeight="1">
      <c r="A185" s="6">
        <v>183</v>
      </c>
      <c r="B185" s="6" t="str">
        <f>"299420210525094715104532"</f>
        <v>299420210525094715104532</v>
      </c>
      <c r="C185" s="6" t="s">
        <v>8</v>
      </c>
      <c r="D185" s="6" t="str">
        <f>"马玉礼"</f>
        <v>马玉礼</v>
      </c>
      <c r="E185" s="6" t="str">
        <f t="shared" si="8"/>
        <v>女</v>
      </c>
    </row>
    <row r="186" spans="1:5" ht="30" customHeight="1">
      <c r="A186" s="6">
        <v>184</v>
      </c>
      <c r="B186" s="6" t="str">
        <f>"299420210525095831104595"</f>
        <v>299420210525095831104595</v>
      </c>
      <c r="C186" s="6" t="s">
        <v>8</v>
      </c>
      <c r="D186" s="6" t="str">
        <f>"孙燕娜"</f>
        <v>孙燕娜</v>
      </c>
      <c r="E186" s="6" t="str">
        <f t="shared" si="8"/>
        <v>女</v>
      </c>
    </row>
    <row r="187" spans="1:5" ht="30" customHeight="1">
      <c r="A187" s="6">
        <v>185</v>
      </c>
      <c r="B187" s="6" t="str">
        <f>"299420210525103055104798"</f>
        <v>299420210525103055104798</v>
      </c>
      <c r="C187" s="6" t="s">
        <v>8</v>
      </c>
      <c r="D187" s="6" t="str">
        <f>"吴菁"</f>
        <v>吴菁</v>
      </c>
      <c r="E187" s="6" t="str">
        <f t="shared" si="8"/>
        <v>女</v>
      </c>
    </row>
    <row r="188" spans="1:5" ht="30" customHeight="1">
      <c r="A188" s="6">
        <v>186</v>
      </c>
      <c r="B188" s="6" t="str">
        <f>"299420210525103236104808"</f>
        <v>299420210525103236104808</v>
      </c>
      <c r="C188" s="6" t="s">
        <v>8</v>
      </c>
      <c r="D188" s="6" t="str">
        <f>"黄彩红"</f>
        <v>黄彩红</v>
      </c>
      <c r="E188" s="6" t="str">
        <f t="shared" si="8"/>
        <v>女</v>
      </c>
    </row>
    <row r="189" spans="1:5" ht="30" customHeight="1">
      <c r="A189" s="6">
        <v>187</v>
      </c>
      <c r="B189" s="6" t="str">
        <f>"299420210525103625104841"</f>
        <v>299420210525103625104841</v>
      </c>
      <c r="C189" s="6" t="s">
        <v>8</v>
      </c>
      <c r="D189" s="6" t="str">
        <f>"冯吉"</f>
        <v>冯吉</v>
      </c>
      <c r="E189" s="6" t="str">
        <f>"男"</f>
        <v>男</v>
      </c>
    </row>
    <row r="190" spans="1:5" ht="30" customHeight="1">
      <c r="A190" s="6">
        <v>188</v>
      </c>
      <c r="B190" s="6" t="str">
        <f>"299420210525104723104901"</f>
        <v>299420210525104723104901</v>
      </c>
      <c r="C190" s="6" t="s">
        <v>8</v>
      </c>
      <c r="D190" s="6" t="str">
        <f>"符淑平"</f>
        <v>符淑平</v>
      </c>
      <c r="E190" s="6" t="str">
        <f aca="true" t="shared" si="9" ref="E190:E220">"女"</f>
        <v>女</v>
      </c>
    </row>
    <row r="191" spans="1:5" ht="30" customHeight="1">
      <c r="A191" s="6">
        <v>189</v>
      </c>
      <c r="B191" s="6" t="str">
        <f>"299420210525104735104903"</f>
        <v>299420210525104735104903</v>
      </c>
      <c r="C191" s="6" t="s">
        <v>8</v>
      </c>
      <c r="D191" s="6" t="str">
        <f>"陈柳霏"</f>
        <v>陈柳霏</v>
      </c>
      <c r="E191" s="6" t="str">
        <f t="shared" si="9"/>
        <v>女</v>
      </c>
    </row>
    <row r="192" spans="1:5" ht="30" customHeight="1">
      <c r="A192" s="6">
        <v>190</v>
      </c>
      <c r="B192" s="6" t="str">
        <f>"299420210525105604104945"</f>
        <v>299420210525105604104945</v>
      </c>
      <c r="C192" s="6" t="s">
        <v>8</v>
      </c>
      <c r="D192" s="6" t="str">
        <f>"姜小莉"</f>
        <v>姜小莉</v>
      </c>
      <c r="E192" s="6" t="str">
        <f t="shared" si="9"/>
        <v>女</v>
      </c>
    </row>
    <row r="193" spans="1:5" ht="30" customHeight="1">
      <c r="A193" s="6">
        <v>191</v>
      </c>
      <c r="B193" s="6" t="str">
        <f>"299420210525105836104959"</f>
        <v>299420210525105836104959</v>
      </c>
      <c r="C193" s="6" t="s">
        <v>8</v>
      </c>
      <c r="D193" s="6" t="str">
        <f>"李秋燕"</f>
        <v>李秋燕</v>
      </c>
      <c r="E193" s="6" t="str">
        <f t="shared" si="9"/>
        <v>女</v>
      </c>
    </row>
    <row r="194" spans="1:5" ht="30" customHeight="1">
      <c r="A194" s="6">
        <v>192</v>
      </c>
      <c r="B194" s="6" t="str">
        <f>"299420210525121546105287"</f>
        <v>299420210525121546105287</v>
      </c>
      <c r="C194" s="6" t="s">
        <v>8</v>
      </c>
      <c r="D194" s="6" t="str">
        <f>"黎阿娇"</f>
        <v>黎阿娇</v>
      </c>
      <c r="E194" s="6" t="str">
        <f t="shared" si="9"/>
        <v>女</v>
      </c>
    </row>
    <row r="195" spans="1:5" ht="30" customHeight="1">
      <c r="A195" s="6">
        <v>193</v>
      </c>
      <c r="B195" s="6" t="str">
        <f>"299420210525132952105506"</f>
        <v>299420210525132952105506</v>
      </c>
      <c r="C195" s="6" t="s">
        <v>8</v>
      </c>
      <c r="D195" s="6" t="str">
        <f>"陈泣如"</f>
        <v>陈泣如</v>
      </c>
      <c r="E195" s="6" t="str">
        <f t="shared" si="9"/>
        <v>女</v>
      </c>
    </row>
    <row r="196" spans="1:5" ht="30" customHeight="1">
      <c r="A196" s="6">
        <v>194</v>
      </c>
      <c r="B196" s="6" t="str">
        <f>"299420210525135406105541"</f>
        <v>299420210525135406105541</v>
      </c>
      <c r="C196" s="6" t="s">
        <v>8</v>
      </c>
      <c r="D196" s="6" t="str">
        <f>"王孟"</f>
        <v>王孟</v>
      </c>
      <c r="E196" s="6" t="str">
        <f t="shared" si="9"/>
        <v>女</v>
      </c>
    </row>
    <row r="197" spans="1:5" ht="30" customHeight="1">
      <c r="A197" s="6">
        <v>195</v>
      </c>
      <c r="B197" s="6" t="str">
        <f>"299420210525144457105615"</f>
        <v>299420210525144457105615</v>
      </c>
      <c r="C197" s="6" t="s">
        <v>8</v>
      </c>
      <c r="D197" s="6" t="str">
        <f>"阮玲玲"</f>
        <v>阮玲玲</v>
      </c>
      <c r="E197" s="6" t="str">
        <f t="shared" si="9"/>
        <v>女</v>
      </c>
    </row>
    <row r="198" spans="1:5" ht="30" customHeight="1">
      <c r="A198" s="6">
        <v>196</v>
      </c>
      <c r="B198" s="6" t="str">
        <f>"299420210525144546105621"</f>
        <v>299420210525144546105621</v>
      </c>
      <c r="C198" s="6" t="s">
        <v>8</v>
      </c>
      <c r="D198" s="6" t="str">
        <f>"梁芬芳"</f>
        <v>梁芬芳</v>
      </c>
      <c r="E198" s="6" t="str">
        <f t="shared" si="9"/>
        <v>女</v>
      </c>
    </row>
    <row r="199" spans="1:5" ht="30" customHeight="1">
      <c r="A199" s="6">
        <v>197</v>
      </c>
      <c r="B199" s="6" t="str">
        <f>"299420210525151647105701"</f>
        <v>299420210525151647105701</v>
      </c>
      <c r="C199" s="6" t="s">
        <v>8</v>
      </c>
      <c r="D199" s="6" t="str">
        <f>"王锡霞"</f>
        <v>王锡霞</v>
      </c>
      <c r="E199" s="6" t="str">
        <f t="shared" si="9"/>
        <v>女</v>
      </c>
    </row>
    <row r="200" spans="1:5" ht="30" customHeight="1">
      <c r="A200" s="6">
        <v>198</v>
      </c>
      <c r="B200" s="6" t="str">
        <f>"299420210525152047105716"</f>
        <v>299420210525152047105716</v>
      </c>
      <c r="C200" s="6" t="s">
        <v>8</v>
      </c>
      <c r="D200" s="6" t="str">
        <f>"邓小金"</f>
        <v>邓小金</v>
      </c>
      <c r="E200" s="6" t="str">
        <f t="shared" si="9"/>
        <v>女</v>
      </c>
    </row>
    <row r="201" spans="1:5" ht="30" customHeight="1">
      <c r="A201" s="6">
        <v>199</v>
      </c>
      <c r="B201" s="6" t="str">
        <f>"299420210525152706105741"</f>
        <v>299420210525152706105741</v>
      </c>
      <c r="C201" s="6" t="s">
        <v>8</v>
      </c>
      <c r="D201" s="6" t="str">
        <f>"邢春柳"</f>
        <v>邢春柳</v>
      </c>
      <c r="E201" s="6" t="str">
        <f t="shared" si="9"/>
        <v>女</v>
      </c>
    </row>
    <row r="202" spans="1:5" ht="30" customHeight="1">
      <c r="A202" s="6">
        <v>200</v>
      </c>
      <c r="B202" s="6" t="str">
        <f>"299420210525153727105773"</f>
        <v>299420210525153727105773</v>
      </c>
      <c r="C202" s="6" t="s">
        <v>8</v>
      </c>
      <c r="D202" s="6" t="str">
        <f>"符莹善"</f>
        <v>符莹善</v>
      </c>
      <c r="E202" s="6" t="str">
        <f t="shared" si="9"/>
        <v>女</v>
      </c>
    </row>
    <row r="203" spans="1:5" ht="30" customHeight="1">
      <c r="A203" s="6">
        <v>201</v>
      </c>
      <c r="B203" s="6" t="str">
        <f>"299420210525154627105805"</f>
        <v>299420210525154627105805</v>
      </c>
      <c r="C203" s="6" t="s">
        <v>8</v>
      </c>
      <c r="D203" s="6" t="str">
        <f>"陈英选"</f>
        <v>陈英选</v>
      </c>
      <c r="E203" s="6" t="str">
        <f t="shared" si="9"/>
        <v>女</v>
      </c>
    </row>
    <row r="204" spans="1:5" ht="30" customHeight="1">
      <c r="A204" s="6">
        <v>202</v>
      </c>
      <c r="B204" s="6" t="str">
        <f>"299420210525161237105884"</f>
        <v>299420210525161237105884</v>
      </c>
      <c r="C204" s="6" t="s">
        <v>8</v>
      </c>
      <c r="D204" s="6" t="str">
        <f>"杨秀联"</f>
        <v>杨秀联</v>
      </c>
      <c r="E204" s="6" t="str">
        <f t="shared" si="9"/>
        <v>女</v>
      </c>
    </row>
    <row r="205" spans="1:5" ht="30" customHeight="1">
      <c r="A205" s="6">
        <v>203</v>
      </c>
      <c r="B205" s="6" t="str">
        <f>"299420210525163419105943"</f>
        <v>299420210525163419105943</v>
      </c>
      <c r="C205" s="6" t="s">
        <v>8</v>
      </c>
      <c r="D205" s="6" t="str">
        <f>"林永教"</f>
        <v>林永教</v>
      </c>
      <c r="E205" s="6" t="str">
        <f t="shared" si="9"/>
        <v>女</v>
      </c>
    </row>
    <row r="206" spans="1:5" ht="30" customHeight="1">
      <c r="A206" s="6">
        <v>204</v>
      </c>
      <c r="B206" s="6" t="str">
        <f>"299420210525163952105963"</f>
        <v>299420210525163952105963</v>
      </c>
      <c r="C206" s="6" t="s">
        <v>8</v>
      </c>
      <c r="D206" s="6" t="str">
        <f>"冯才颜"</f>
        <v>冯才颜</v>
      </c>
      <c r="E206" s="6" t="str">
        <f t="shared" si="9"/>
        <v>女</v>
      </c>
    </row>
    <row r="207" spans="1:5" ht="30" customHeight="1">
      <c r="A207" s="6">
        <v>205</v>
      </c>
      <c r="B207" s="6" t="str">
        <f>"299420210525164252105974"</f>
        <v>299420210525164252105974</v>
      </c>
      <c r="C207" s="6" t="s">
        <v>8</v>
      </c>
      <c r="D207" s="6" t="str">
        <f>"吴兰"</f>
        <v>吴兰</v>
      </c>
      <c r="E207" s="6" t="str">
        <f t="shared" si="9"/>
        <v>女</v>
      </c>
    </row>
    <row r="208" spans="1:5" ht="30" customHeight="1">
      <c r="A208" s="6">
        <v>206</v>
      </c>
      <c r="B208" s="6" t="str">
        <f>"299420210525164656105986"</f>
        <v>299420210525164656105986</v>
      </c>
      <c r="C208" s="6" t="s">
        <v>8</v>
      </c>
      <c r="D208" s="6" t="str">
        <f>"李佳洁"</f>
        <v>李佳洁</v>
      </c>
      <c r="E208" s="6" t="str">
        <f t="shared" si="9"/>
        <v>女</v>
      </c>
    </row>
    <row r="209" spans="1:5" ht="30" customHeight="1">
      <c r="A209" s="6">
        <v>207</v>
      </c>
      <c r="B209" s="6" t="str">
        <f>"299420210525164949105991"</f>
        <v>299420210525164949105991</v>
      </c>
      <c r="C209" s="6" t="s">
        <v>8</v>
      </c>
      <c r="D209" s="6" t="str">
        <f>"叶玉会"</f>
        <v>叶玉会</v>
      </c>
      <c r="E209" s="6" t="str">
        <f t="shared" si="9"/>
        <v>女</v>
      </c>
    </row>
    <row r="210" spans="1:5" ht="30" customHeight="1">
      <c r="A210" s="6">
        <v>208</v>
      </c>
      <c r="B210" s="6" t="str">
        <f>"299420210525165825106010"</f>
        <v>299420210525165825106010</v>
      </c>
      <c r="C210" s="6" t="s">
        <v>8</v>
      </c>
      <c r="D210" s="6" t="str">
        <f>"谢浩玲"</f>
        <v>谢浩玲</v>
      </c>
      <c r="E210" s="6" t="str">
        <f t="shared" si="9"/>
        <v>女</v>
      </c>
    </row>
    <row r="211" spans="1:5" ht="30" customHeight="1">
      <c r="A211" s="6">
        <v>209</v>
      </c>
      <c r="B211" s="6" t="str">
        <f>"299420210525181535106177"</f>
        <v>299420210525181535106177</v>
      </c>
      <c r="C211" s="6" t="s">
        <v>8</v>
      </c>
      <c r="D211" s="6" t="str">
        <f>"符玉君"</f>
        <v>符玉君</v>
      </c>
      <c r="E211" s="6" t="str">
        <f t="shared" si="9"/>
        <v>女</v>
      </c>
    </row>
    <row r="212" spans="1:5" ht="30" customHeight="1">
      <c r="A212" s="6">
        <v>210</v>
      </c>
      <c r="B212" s="6" t="str">
        <f>"299420210525181908106185"</f>
        <v>299420210525181908106185</v>
      </c>
      <c r="C212" s="6" t="s">
        <v>8</v>
      </c>
      <c r="D212" s="6" t="str">
        <f>"陈怡"</f>
        <v>陈怡</v>
      </c>
      <c r="E212" s="6" t="str">
        <f t="shared" si="9"/>
        <v>女</v>
      </c>
    </row>
    <row r="213" spans="1:5" ht="30" customHeight="1">
      <c r="A213" s="6">
        <v>211</v>
      </c>
      <c r="B213" s="6" t="str">
        <f>"299420210525195724106414"</f>
        <v>299420210525195724106414</v>
      </c>
      <c r="C213" s="6" t="s">
        <v>8</v>
      </c>
      <c r="D213" s="6" t="str">
        <f>"陈星"</f>
        <v>陈星</v>
      </c>
      <c r="E213" s="6" t="str">
        <f t="shared" si="9"/>
        <v>女</v>
      </c>
    </row>
    <row r="214" spans="1:5" ht="30" customHeight="1">
      <c r="A214" s="6">
        <v>212</v>
      </c>
      <c r="B214" s="6" t="str">
        <f>"299420210525201428106448"</f>
        <v>299420210525201428106448</v>
      </c>
      <c r="C214" s="6" t="s">
        <v>8</v>
      </c>
      <c r="D214" s="6" t="str">
        <f>"李美带"</f>
        <v>李美带</v>
      </c>
      <c r="E214" s="6" t="str">
        <f t="shared" si="9"/>
        <v>女</v>
      </c>
    </row>
    <row r="215" spans="1:5" ht="30" customHeight="1">
      <c r="A215" s="6">
        <v>213</v>
      </c>
      <c r="B215" s="6" t="str">
        <f>"299420210525202514106479"</f>
        <v>299420210525202514106479</v>
      </c>
      <c r="C215" s="6" t="s">
        <v>8</v>
      </c>
      <c r="D215" s="6" t="str">
        <f>"李佳进"</f>
        <v>李佳进</v>
      </c>
      <c r="E215" s="6" t="str">
        <f t="shared" si="9"/>
        <v>女</v>
      </c>
    </row>
    <row r="216" spans="1:5" ht="30" customHeight="1">
      <c r="A216" s="6">
        <v>214</v>
      </c>
      <c r="B216" s="6" t="str">
        <f>"299420210525204217106520"</f>
        <v>299420210525204217106520</v>
      </c>
      <c r="C216" s="6" t="s">
        <v>8</v>
      </c>
      <c r="D216" s="6" t="str">
        <f>"罗瑶"</f>
        <v>罗瑶</v>
      </c>
      <c r="E216" s="6" t="str">
        <f t="shared" si="9"/>
        <v>女</v>
      </c>
    </row>
    <row r="217" spans="1:5" ht="30" customHeight="1">
      <c r="A217" s="6">
        <v>215</v>
      </c>
      <c r="B217" s="6" t="str">
        <f>"299420210525211814106594"</f>
        <v>299420210525211814106594</v>
      </c>
      <c r="C217" s="6" t="s">
        <v>8</v>
      </c>
      <c r="D217" s="6" t="str">
        <f>"郑榆菲"</f>
        <v>郑榆菲</v>
      </c>
      <c r="E217" s="6" t="str">
        <f t="shared" si="9"/>
        <v>女</v>
      </c>
    </row>
    <row r="218" spans="1:5" ht="30" customHeight="1">
      <c r="A218" s="6">
        <v>216</v>
      </c>
      <c r="B218" s="6" t="str">
        <f>"299420210525214234106658"</f>
        <v>299420210525214234106658</v>
      </c>
      <c r="C218" s="6" t="s">
        <v>8</v>
      </c>
      <c r="D218" s="6" t="str">
        <f>"陈蕾静"</f>
        <v>陈蕾静</v>
      </c>
      <c r="E218" s="6" t="str">
        <f t="shared" si="9"/>
        <v>女</v>
      </c>
    </row>
    <row r="219" spans="1:5" ht="30" customHeight="1">
      <c r="A219" s="6">
        <v>217</v>
      </c>
      <c r="B219" s="6" t="str">
        <f>"299420210525220842106714"</f>
        <v>299420210525220842106714</v>
      </c>
      <c r="C219" s="6" t="s">
        <v>8</v>
      </c>
      <c r="D219" s="6" t="str">
        <f>"王珍琦"</f>
        <v>王珍琦</v>
      </c>
      <c r="E219" s="6" t="str">
        <f t="shared" si="9"/>
        <v>女</v>
      </c>
    </row>
    <row r="220" spans="1:5" ht="30" customHeight="1">
      <c r="A220" s="6">
        <v>218</v>
      </c>
      <c r="B220" s="6" t="str">
        <f>"299420210525223014106763"</f>
        <v>299420210525223014106763</v>
      </c>
      <c r="C220" s="6" t="s">
        <v>8</v>
      </c>
      <c r="D220" s="6" t="str">
        <f>" 张燕"</f>
        <v> 张燕</v>
      </c>
      <c r="E220" s="6" t="str">
        <f t="shared" si="9"/>
        <v>女</v>
      </c>
    </row>
    <row r="221" spans="1:5" ht="30" customHeight="1">
      <c r="A221" s="6">
        <v>219</v>
      </c>
      <c r="B221" s="6" t="str">
        <f>"299420210525223024106764"</f>
        <v>299420210525223024106764</v>
      </c>
      <c r="C221" s="6" t="s">
        <v>8</v>
      </c>
      <c r="D221" s="6" t="str">
        <f>"李经宝"</f>
        <v>李经宝</v>
      </c>
      <c r="E221" s="6" t="str">
        <f>"男"</f>
        <v>男</v>
      </c>
    </row>
    <row r="222" spans="1:5" ht="30" customHeight="1">
      <c r="A222" s="6">
        <v>220</v>
      </c>
      <c r="B222" s="6" t="str">
        <f>"299420210525225330106810"</f>
        <v>299420210525225330106810</v>
      </c>
      <c r="C222" s="6" t="s">
        <v>8</v>
      </c>
      <c r="D222" s="6" t="str">
        <f>"符金花"</f>
        <v>符金花</v>
      </c>
      <c r="E222" s="6" t="str">
        <f aca="true" t="shared" si="10" ref="E222:E239">"女"</f>
        <v>女</v>
      </c>
    </row>
    <row r="223" spans="1:5" ht="30" customHeight="1">
      <c r="A223" s="6">
        <v>221</v>
      </c>
      <c r="B223" s="6" t="str">
        <f>"299420210525232328106855"</f>
        <v>299420210525232328106855</v>
      </c>
      <c r="C223" s="6" t="s">
        <v>8</v>
      </c>
      <c r="D223" s="6" t="str">
        <f>"洪丽红"</f>
        <v>洪丽红</v>
      </c>
      <c r="E223" s="6" t="str">
        <f t="shared" si="10"/>
        <v>女</v>
      </c>
    </row>
    <row r="224" spans="1:5" ht="30" customHeight="1">
      <c r="A224" s="6">
        <v>222</v>
      </c>
      <c r="B224" s="6" t="str">
        <f>"299420210525234034106881"</f>
        <v>299420210525234034106881</v>
      </c>
      <c r="C224" s="6" t="s">
        <v>8</v>
      </c>
      <c r="D224" s="6" t="str">
        <f>"任金辉"</f>
        <v>任金辉</v>
      </c>
      <c r="E224" s="6" t="str">
        <f t="shared" si="10"/>
        <v>女</v>
      </c>
    </row>
    <row r="225" spans="1:5" ht="30" customHeight="1">
      <c r="A225" s="6">
        <v>223</v>
      </c>
      <c r="B225" s="6" t="str">
        <f>"299420210526081819106996"</f>
        <v>299420210526081819106996</v>
      </c>
      <c r="C225" s="6" t="s">
        <v>8</v>
      </c>
      <c r="D225" s="6" t="str">
        <f>"陈慧"</f>
        <v>陈慧</v>
      </c>
      <c r="E225" s="6" t="str">
        <f t="shared" si="10"/>
        <v>女</v>
      </c>
    </row>
    <row r="226" spans="1:5" ht="30" customHeight="1">
      <c r="A226" s="6">
        <v>224</v>
      </c>
      <c r="B226" s="6" t="str">
        <f>"299420210526083630107017"</f>
        <v>299420210526083630107017</v>
      </c>
      <c r="C226" s="6" t="s">
        <v>8</v>
      </c>
      <c r="D226" s="6" t="str">
        <f>"梁雨君"</f>
        <v>梁雨君</v>
      </c>
      <c r="E226" s="6" t="str">
        <f t="shared" si="10"/>
        <v>女</v>
      </c>
    </row>
    <row r="227" spans="1:5" ht="30" customHeight="1">
      <c r="A227" s="6">
        <v>225</v>
      </c>
      <c r="B227" s="6" t="str">
        <f>"299420210526084007107024"</f>
        <v>299420210526084007107024</v>
      </c>
      <c r="C227" s="6" t="s">
        <v>8</v>
      </c>
      <c r="D227" s="6" t="str">
        <f>"谭小梅"</f>
        <v>谭小梅</v>
      </c>
      <c r="E227" s="6" t="str">
        <f t="shared" si="10"/>
        <v>女</v>
      </c>
    </row>
    <row r="228" spans="1:5" ht="30" customHeight="1">
      <c r="A228" s="6">
        <v>226</v>
      </c>
      <c r="B228" s="6" t="str">
        <f>"299420210526090851107069"</f>
        <v>299420210526090851107069</v>
      </c>
      <c r="C228" s="6" t="s">
        <v>8</v>
      </c>
      <c r="D228" s="6" t="str">
        <f>"李婷"</f>
        <v>李婷</v>
      </c>
      <c r="E228" s="6" t="str">
        <f t="shared" si="10"/>
        <v>女</v>
      </c>
    </row>
    <row r="229" spans="1:5" ht="30" customHeight="1">
      <c r="A229" s="6">
        <v>227</v>
      </c>
      <c r="B229" s="6" t="str">
        <f>"299420210526095559107180"</f>
        <v>299420210526095559107180</v>
      </c>
      <c r="C229" s="6" t="s">
        <v>8</v>
      </c>
      <c r="D229" s="6" t="str">
        <f>"罗诗彦"</f>
        <v>罗诗彦</v>
      </c>
      <c r="E229" s="6" t="str">
        <f t="shared" si="10"/>
        <v>女</v>
      </c>
    </row>
    <row r="230" spans="1:5" ht="30" customHeight="1">
      <c r="A230" s="6">
        <v>228</v>
      </c>
      <c r="B230" s="6" t="str">
        <f>"299420210526095909107188"</f>
        <v>299420210526095909107188</v>
      </c>
      <c r="C230" s="6" t="s">
        <v>8</v>
      </c>
      <c r="D230" s="6" t="str">
        <f>"王棉"</f>
        <v>王棉</v>
      </c>
      <c r="E230" s="6" t="str">
        <f t="shared" si="10"/>
        <v>女</v>
      </c>
    </row>
    <row r="231" spans="1:5" ht="30" customHeight="1">
      <c r="A231" s="6">
        <v>229</v>
      </c>
      <c r="B231" s="6" t="str">
        <f>"299420210526101040107222"</f>
        <v>299420210526101040107222</v>
      </c>
      <c r="C231" s="6" t="s">
        <v>8</v>
      </c>
      <c r="D231" s="6" t="str">
        <f>"王美"</f>
        <v>王美</v>
      </c>
      <c r="E231" s="6" t="str">
        <f t="shared" si="10"/>
        <v>女</v>
      </c>
    </row>
    <row r="232" spans="1:5" ht="30" customHeight="1">
      <c r="A232" s="6">
        <v>230</v>
      </c>
      <c r="B232" s="6" t="str">
        <f>"299420210526101249107228"</f>
        <v>299420210526101249107228</v>
      </c>
      <c r="C232" s="6" t="s">
        <v>8</v>
      </c>
      <c r="D232" s="6" t="str">
        <f>"徐贞"</f>
        <v>徐贞</v>
      </c>
      <c r="E232" s="6" t="str">
        <f t="shared" si="10"/>
        <v>女</v>
      </c>
    </row>
    <row r="233" spans="1:5" ht="30" customHeight="1">
      <c r="A233" s="6">
        <v>231</v>
      </c>
      <c r="B233" s="6" t="str">
        <f>"299420210526101642107240"</f>
        <v>299420210526101642107240</v>
      </c>
      <c r="C233" s="6" t="s">
        <v>8</v>
      </c>
      <c r="D233" s="6" t="str">
        <f>"林春香"</f>
        <v>林春香</v>
      </c>
      <c r="E233" s="6" t="str">
        <f t="shared" si="10"/>
        <v>女</v>
      </c>
    </row>
    <row r="234" spans="1:5" ht="30" customHeight="1">
      <c r="A234" s="6">
        <v>232</v>
      </c>
      <c r="B234" s="6" t="str">
        <f>"299420210526102259107261"</f>
        <v>299420210526102259107261</v>
      </c>
      <c r="C234" s="6" t="s">
        <v>8</v>
      </c>
      <c r="D234" s="6" t="str">
        <f>"朱兰"</f>
        <v>朱兰</v>
      </c>
      <c r="E234" s="6" t="str">
        <f t="shared" si="10"/>
        <v>女</v>
      </c>
    </row>
    <row r="235" spans="1:5" ht="30" customHeight="1">
      <c r="A235" s="6">
        <v>233</v>
      </c>
      <c r="B235" s="6" t="str">
        <f>"299420210526105428107335"</f>
        <v>299420210526105428107335</v>
      </c>
      <c r="C235" s="6" t="s">
        <v>8</v>
      </c>
      <c r="D235" s="6" t="str">
        <f>"欧艳"</f>
        <v>欧艳</v>
      </c>
      <c r="E235" s="6" t="str">
        <f t="shared" si="10"/>
        <v>女</v>
      </c>
    </row>
    <row r="236" spans="1:5" ht="30" customHeight="1">
      <c r="A236" s="6">
        <v>234</v>
      </c>
      <c r="B236" s="6" t="str">
        <f>"299420210526110358107360"</f>
        <v>299420210526110358107360</v>
      </c>
      <c r="C236" s="6" t="s">
        <v>8</v>
      </c>
      <c r="D236" s="6" t="str">
        <f>"许文雅"</f>
        <v>许文雅</v>
      </c>
      <c r="E236" s="6" t="str">
        <f t="shared" si="10"/>
        <v>女</v>
      </c>
    </row>
    <row r="237" spans="1:5" ht="30" customHeight="1">
      <c r="A237" s="6">
        <v>235</v>
      </c>
      <c r="B237" s="6" t="str">
        <f>"299420210526114439107442"</f>
        <v>299420210526114439107442</v>
      </c>
      <c r="C237" s="6" t="s">
        <v>8</v>
      </c>
      <c r="D237" s="6" t="str">
        <f>"邓玲玲"</f>
        <v>邓玲玲</v>
      </c>
      <c r="E237" s="6" t="str">
        <f t="shared" si="10"/>
        <v>女</v>
      </c>
    </row>
    <row r="238" spans="1:5" ht="30" customHeight="1">
      <c r="A238" s="6">
        <v>236</v>
      </c>
      <c r="B238" s="6" t="str">
        <f>"299420210526121927107503"</f>
        <v>299420210526121927107503</v>
      </c>
      <c r="C238" s="6" t="s">
        <v>8</v>
      </c>
      <c r="D238" s="6" t="str">
        <f>"陈荟妃"</f>
        <v>陈荟妃</v>
      </c>
      <c r="E238" s="6" t="str">
        <f t="shared" si="10"/>
        <v>女</v>
      </c>
    </row>
    <row r="239" spans="1:5" ht="30" customHeight="1">
      <c r="A239" s="6">
        <v>237</v>
      </c>
      <c r="B239" s="6" t="str">
        <f>"299420210526131417107630"</f>
        <v>299420210526131417107630</v>
      </c>
      <c r="C239" s="6" t="s">
        <v>8</v>
      </c>
      <c r="D239" s="6" t="str">
        <f>"伍美翔"</f>
        <v>伍美翔</v>
      </c>
      <c r="E239" s="6" t="str">
        <f t="shared" si="10"/>
        <v>女</v>
      </c>
    </row>
    <row r="240" spans="1:5" ht="30" customHeight="1">
      <c r="A240" s="6">
        <v>238</v>
      </c>
      <c r="B240" s="6" t="str">
        <f>"299420210526135427107659"</f>
        <v>299420210526135427107659</v>
      </c>
      <c r="C240" s="6" t="s">
        <v>8</v>
      </c>
      <c r="D240" s="6" t="str">
        <f>"徐伟强"</f>
        <v>徐伟强</v>
      </c>
      <c r="E240" s="6" t="str">
        <f>"男"</f>
        <v>男</v>
      </c>
    </row>
    <row r="241" spans="1:5" ht="30" customHeight="1">
      <c r="A241" s="6">
        <v>239</v>
      </c>
      <c r="B241" s="6" t="str">
        <f>"299420210526140843107666"</f>
        <v>299420210526140843107666</v>
      </c>
      <c r="C241" s="6" t="s">
        <v>8</v>
      </c>
      <c r="D241" s="6" t="str">
        <f>"韩寒春"</f>
        <v>韩寒春</v>
      </c>
      <c r="E241" s="6" t="str">
        <f aca="true" t="shared" si="11" ref="E241:E304">"女"</f>
        <v>女</v>
      </c>
    </row>
    <row r="242" spans="1:5" ht="30" customHeight="1">
      <c r="A242" s="6">
        <v>240</v>
      </c>
      <c r="B242" s="6" t="str">
        <f>"299420210526152124107774"</f>
        <v>299420210526152124107774</v>
      </c>
      <c r="C242" s="6" t="s">
        <v>8</v>
      </c>
      <c r="D242" s="6" t="str">
        <f>"林永琪"</f>
        <v>林永琪</v>
      </c>
      <c r="E242" s="6" t="str">
        <f t="shared" si="11"/>
        <v>女</v>
      </c>
    </row>
    <row r="243" spans="1:5" ht="30" customHeight="1">
      <c r="A243" s="6">
        <v>241</v>
      </c>
      <c r="B243" s="6" t="str">
        <f>"299420210526153228107787"</f>
        <v>299420210526153228107787</v>
      </c>
      <c r="C243" s="6" t="s">
        <v>8</v>
      </c>
      <c r="D243" s="6" t="str">
        <f>"曾海娜"</f>
        <v>曾海娜</v>
      </c>
      <c r="E243" s="6" t="str">
        <f t="shared" si="11"/>
        <v>女</v>
      </c>
    </row>
    <row r="244" spans="1:5" ht="30" customHeight="1">
      <c r="A244" s="6">
        <v>242</v>
      </c>
      <c r="B244" s="6" t="str">
        <f>"299420210526155506107841"</f>
        <v>299420210526155506107841</v>
      </c>
      <c r="C244" s="6" t="s">
        <v>8</v>
      </c>
      <c r="D244" s="6" t="str">
        <f>"毛斐"</f>
        <v>毛斐</v>
      </c>
      <c r="E244" s="6" t="str">
        <f t="shared" si="11"/>
        <v>女</v>
      </c>
    </row>
    <row r="245" spans="1:5" ht="30" customHeight="1">
      <c r="A245" s="6">
        <v>243</v>
      </c>
      <c r="B245" s="6" t="str">
        <f>"299420210526162352107909"</f>
        <v>299420210526162352107909</v>
      </c>
      <c r="C245" s="6" t="s">
        <v>8</v>
      </c>
      <c r="D245" s="6" t="str">
        <f>"梁馨允"</f>
        <v>梁馨允</v>
      </c>
      <c r="E245" s="6" t="str">
        <f t="shared" si="11"/>
        <v>女</v>
      </c>
    </row>
    <row r="246" spans="1:5" ht="30" customHeight="1">
      <c r="A246" s="6">
        <v>244</v>
      </c>
      <c r="B246" s="6" t="str">
        <f>"299420210526170040107977"</f>
        <v>299420210526170040107977</v>
      </c>
      <c r="C246" s="6" t="s">
        <v>8</v>
      </c>
      <c r="D246" s="6" t="str">
        <f>"陈莉香"</f>
        <v>陈莉香</v>
      </c>
      <c r="E246" s="6" t="str">
        <f t="shared" si="11"/>
        <v>女</v>
      </c>
    </row>
    <row r="247" spans="1:5" ht="30" customHeight="1">
      <c r="A247" s="6">
        <v>245</v>
      </c>
      <c r="B247" s="6" t="str">
        <f>"299420210526170845107992"</f>
        <v>299420210526170845107992</v>
      </c>
      <c r="C247" s="6" t="s">
        <v>8</v>
      </c>
      <c r="D247" s="6" t="str">
        <f>"王能"</f>
        <v>王能</v>
      </c>
      <c r="E247" s="6" t="str">
        <f t="shared" si="11"/>
        <v>女</v>
      </c>
    </row>
    <row r="248" spans="1:5" ht="30" customHeight="1">
      <c r="A248" s="6">
        <v>246</v>
      </c>
      <c r="B248" s="6" t="str">
        <f>"299420210526172021108008"</f>
        <v>299420210526172021108008</v>
      </c>
      <c r="C248" s="6" t="s">
        <v>8</v>
      </c>
      <c r="D248" s="6" t="str">
        <f>"李小驳"</f>
        <v>李小驳</v>
      </c>
      <c r="E248" s="6" t="str">
        <f t="shared" si="11"/>
        <v>女</v>
      </c>
    </row>
    <row r="249" spans="1:5" ht="30" customHeight="1">
      <c r="A249" s="6">
        <v>247</v>
      </c>
      <c r="B249" s="6" t="str">
        <f>"299420210526174931108055"</f>
        <v>299420210526174931108055</v>
      </c>
      <c r="C249" s="6" t="s">
        <v>8</v>
      </c>
      <c r="D249" s="6" t="str">
        <f>"吴海"</f>
        <v>吴海</v>
      </c>
      <c r="E249" s="6" t="str">
        <f t="shared" si="11"/>
        <v>女</v>
      </c>
    </row>
    <row r="250" spans="1:5" ht="30" customHeight="1">
      <c r="A250" s="6">
        <v>248</v>
      </c>
      <c r="B250" s="6" t="str">
        <f>"299420210526182559108125"</f>
        <v>299420210526182559108125</v>
      </c>
      <c r="C250" s="6" t="s">
        <v>8</v>
      </c>
      <c r="D250" s="6" t="str">
        <f>"陈茵茵"</f>
        <v>陈茵茵</v>
      </c>
      <c r="E250" s="6" t="str">
        <f t="shared" si="11"/>
        <v>女</v>
      </c>
    </row>
    <row r="251" spans="1:5" ht="30" customHeight="1">
      <c r="A251" s="6">
        <v>249</v>
      </c>
      <c r="B251" s="6" t="str">
        <f>"299420210526184321108153"</f>
        <v>299420210526184321108153</v>
      </c>
      <c r="C251" s="6" t="s">
        <v>8</v>
      </c>
      <c r="D251" s="6" t="str">
        <f>"陈欣"</f>
        <v>陈欣</v>
      </c>
      <c r="E251" s="6" t="str">
        <f t="shared" si="11"/>
        <v>女</v>
      </c>
    </row>
    <row r="252" spans="1:5" ht="30" customHeight="1">
      <c r="A252" s="6">
        <v>250</v>
      </c>
      <c r="B252" s="6" t="str">
        <f>"299420210526192903108222"</f>
        <v>299420210526192903108222</v>
      </c>
      <c r="C252" s="6" t="s">
        <v>8</v>
      </c>
      <c r="D252" s="6" t="str">
        <f>"黎小雯"</f>
        <v>黎小雯</v>
      </c>
      <c r="E252" s="6" t="str">
        <f t="shared" si="11"/>
        <v>女</v>
      </c>
    </row>
    <row r="253" spans="1:5" ht="30" customHeight="1">
      <c r="A253" s="6">
        <v>251</v>
      </c>
      <c r="B253" s="6" t="str">
        <f>"299420210526194624108258"</f>
        <v>299420210526194624108258</v>
      </c>
      <c r="C253" s="6" t="s">
        <v>8</v>
      </c>
      <c r="D253" s="6" t="str">
        <f>"曾来南"</f>
        <v>曾来南</v>
      </c>
      <c r="E253" s="6" t="str">
        <f t="shared" si="11"/>
        <v>女</v>
      </c>
    </row>
    <row r="254" spans="1:5" ht="30" customHeight="1">
      <c r="A254" s="6">
        <v>252</v>
      </c>
      <c r="B254" s="6" t="str">
        <f>"299420210526201324108307"</f>
        <v>299420210526201324108307</v>
      </c>
      <c r="C254" s="6" t="s">
        <v>8</v>
      </c>
      <c r="D254" s="6" t="str">
        <f>"金娜"</f>
        <v>金娜</v>
      </c>
      <c r="E254" s="6" t="str">
        <f t="shared" si="11"/>
        <v>女</v>
      </c>
    </row>
    <row r="255" spans="1:5" ht="30" customHeight="1">
      <c r="A255" s="6">
        <v>253</v>
      </c>
      <c r="B255" s="6" t="str">
        <f>"299420210526204305108363"</f>
        <v>299420210526204305108363</v>
      </c>
      <c r="C255" s="6" t="s">
        <v>8</v>
      </c>
      <c r="D255" s="6" t="str">
        <f>"周滢"</f>
        <v>周滢</v>
      </c>
      <c r="E255" s="6" t="str">
        <f t="shared" si="11"/>
        <v>女</v>
      </c>
    </row>
    <row r="256" spans="1:5" ht="30" customHeight="1">
      <c r="A256" s="6">
        <v>254</v>
      </c>
      <c r="B256" s="6" t="str">
        <f>"299420210526210926108414"</f>
        <v>299420210526210926108414</v>
      </c>
      <c r="C256" s="6" t="s">
        <v>8</v>
      </c>
      <c r="D256" s="6" t="str">
        <f>"陈贞贞"</f>
        <v>陈贞贞</v>
      </c>
      <c r="E256" s="6" t="str">
        <f t="shared" si="11"/>
        <v>女</v>
      </c>
    </row>
    <row r="257" spans="1:5" ht="30" customHeight="1">
      <c r="A257" s="6">
        <v>255</v>
      </c>
      <c r="B257" s="6" t="str">
        <f>"299420210526214006108488"</f>
        <v>299420210526214006108488</v>
      </c>
      <c r="C257" s="6" t="s">
        <v>8</v>
      </c>
      <c r="D257" s="6" t="str">
        <f>"黄雪"</f>
        <v>黄雪</v>
      </c>
      <c r="E257" s="6" t="str">
        <f t="shared" si="11"/>
        <v>女</v>
      </c>
    </row>
    <row r="258" spans="1:5" ht="30" customHeight="1">
      <c r="A258" s="6">
        <v>256</v>
      </c>
      <c r="B258" s="6" t="str">
        <f>"299420210526215056108508"</f>
        <v>299420210526215056108508</v>
      </c>
      <c r="C258" s="6" t="s">
        <v>8</v>
      </c>
      <c r="D258" s="6" t="str">
        <f>"黎昌柳"</f>
        <v>黎昌柳</v>
      </c>
      <c r="E258" s="6" t="str">
        <f t="shared" si="11"/>
        <v>女</v>
      </c>
    </row>
    <row r="259" spans="1:5" ht="30" customHeight="1">
      <c r="A259" s="6">
        <v>257</v>
      </c>
      <c r="B259" s="6" t="str">
        <f>"299420210526220015108530"</f>
        <v>299420210526220015108530</v>
      </c>
      <c r="C259" s="6" t="s">
        <v>8</v>
      </c>
      <c r="D259" s="6" t="str">
        <f>"周金叶"</f>
        <v>周金叶</v>
      </c>
      <c r="E259" s="6" t="str">
        <f t="shared" si="11"/>
        <v>女</v>
      </c>
    </row>
    <row r="260" spans="1:5" ht="30" customHeight="1">
      <c r="A260" s="6">
        <v>258</v>
      </c>
      <c r="B260" s="6" t="str">
        <f>"299420210527100710109005"</f>
        <v>299420210527100710109005</v>
      </c>
      <c r="C260" s="6" t="s">
        <v>8</v>
      </c>
      <c r="D260" s="6" t="str">
        <f>"王馥芸"</f>
        <v>王馥芸</v>
      </c>
      <c r="E260" s="6" t="str">
        <f t="shared" si="11"/>
        <v>女</v>
      </c>
    </row>
    <row r="261" spans="1:5" ht="30" customHeight="1">
      <c r="A261" s="6">
        <v>259</v>
      </c>
      <c r="B261" s="6" t="str">
        <f>"299420210527100737109008"</f>
        <v>299420210527100737109008</v>
      </c>
      <c r="C261" s="6" t="s">
        <v>8</v>
      </c>
      <c r="D261" s="6" t="str">
        <f>"张少玲"</f>
        <v>张少玲</v>
      </c>
      <c r="E261" s="6" t="str">
        <f t="shared" si="11"/>
        <v>女</v>
      </c>
    </row>
    <row r="262" spans="1:5" ht="30" customHeight="1">
      <c r="A262" s="6">
        <v>260</v>
      </c>
      <c r="B262" s="6" t="str">
        <f>"299420210527100957109012"</f>
        <v>299420210527100957109012</v>
      </c>
      <c r="C262" s="6" t="s">
        <v>8</v>
      </c>
      <c r="D262" s="6" t="str">
        <f>"吴云"</f>
        <v>吴云</v>
      </c>
      <c r="E262" s="6" t="str">
        <f t="shared" si="11"/>
        <v>女</v>
      </c>
    </row>
    <row r="263" spans="1:5" ht="30" customHeight="1">
      <c r="A263" s="6">
        <v>261</v>
      </c>
      <c r="B263" s="6" t="str">
        <f>"299420210527102557109046"</f>
        <v>299420210527102557109046</v>
      </c>
      <c r="C263" s="6" t="s">
        <v>8</v>
      </c>
      <c r="D263" s="6" t="str">
        <f>"韩亚强"</f>
        <v>韩亚强</v>
      </c>
      <c r="E263" s="6" t="str">
        <f t="shared" si="11"/>
        <v>女</v>
      </c>
    </row>
    <row r="264" spans="1:5" ht="30" customHeight="1">
      <c r="A264" s="6">
        <v>262</v>
      </c>
      <c r="B264" s="6" t="str">
        <f>"299420210527105808109106"</f>
        <v>299420210527105808109106</v>
      </c>
      <c r="C264" s="6" t="s">
        <v>8</v>
      </c>
      <c r="D264" s="6" t="str">
        <f>"林丽婷"</f>
        <v>林丽婷</v>
      </c>
      <c r="E264" s="6" t="str">
        <f t="shared" si="11"/>
        <v>女</v>
      </c>
    </row>
    <row r="265" spans="1:5" ht="30" customHeight="1">
      <c r="A265" s="6">
        <v>263</v>
      </c>
      <c r="B265" s="6" t="str">
        <f>"299420210527111245109132"</f>
        <v>299420210527111245109132</v>
      </c>
      <c r="C265" s="6" t="s">
        <v>8</v>
      </c>
      <c r="D265" s="6" t="str">
        <f>"高军"</f>
        <v>高军</v>
      </c>
      <c r="E265" s="6" t="str">
        <f t="shared" si="11"/>
        <v>女</v>
      </c>
    </row>
    <row r="266" spans="1:5" ht="30" customHeight="1">
      <c r="A266" s="6">
        <v>264</v>
      </c>
      <c r="B266" s="6" t="str">
        <f>"299420210527111954109142"</f>
        <v>299420210527111954109142</v>
      </c>
      <c r="C266" s="6" t="s">
        <v>8</v>
      </c>
      <c r="D266" s="6" t="str">
        <f>"王金桂"</f>
        <v>王金桂</v>
      </c>
      <c r="E266" s="6" t="str">
        <f t="shared" si="11"/>
        <v>女</v>
      </c>
    </row>
    <row r="267" spans="1:5" ht="30" customHeight="1">
      <c r="A267" s="6">
        <v>265</v>
      </c>
      <c r="B267" s="6" t="str">
        <f>"299420210527112041109143"</f>
        <v>299420210527112041109143</v>
      </c>
      <c r="C267" s="6" t="s">
        <v>8</v>
      </c>
      <c r="D267" s="6" t="str">
        <f>"王思宇"</f>
        <v>王思宇</v>
      </c>
      <c r="E267" s="6" t="str">
        <f t="shared" si="11"/>
        <v>女</v>
      </c>
    </row>
    <row r="268" spans="1:5" ht="30" customHeight="1">
      <c r="A268" s="6">
        <v>266</v>
      </c>
      <c r="B268" s="6" t="str">
        <f>"299420210527114954109186"</f>
        <v>299420210527114954109186</v>
      </c>
      <c r="C268" s="6" t="s">
        <v>8</v>
      </c>
      <c r="D268" s="6" t="str">
        <f>"韦健秋"</f>
        <v>韦健秋</v>
      </c>
      <c r="E268" s="6" t="str">
        <f t="shared" si="11"/>
        <v>女</v>
      </c>
    </row>
    <row r="269" spans="1:5" ht="30" customHeight="1">
      <c r="A269" s="6">
        <v>267</v>
      </c>
      <c r="B269" s="6" t="str">
        <f>"299420210527122833109226"</f>
        <v>299420210527122833109226</v>
      </c>
      <c r="C269" s="6" t="s">
        <v>8</v>
      </c>
      <c r="D269" s="6" t="str">
        <f>"林仙"</f>
        <v>林仙</v>
      </c>
      <c r="E269" s="6" t="str">
        <f t="shared" si="11"/>
        <v>女</v>
      </c>
    </row>
    <row r="270" spans="1:5" ht="30" customHeight="1">
      <c r="A270" s="6">
        <v>268</v>
      </c>
      <c r="B270" s="6" t="str">
        <f>"299420210527132306109304"</f>
        <v>299420210527132306109304</v>
      </c>
      <c r="C270" s="6" t="s">
        <v>8</v>
      </c>
      <c r="D270" s="6" t="str">
        <f>"唐月玲"</f>
        <v>唐月玲</v>
      </c>
      <c r="E270" s="6" t="str">
        <f t="shared" si="11"/>
        <v>女</v>
      </c>
    </row>
    <row r="271" spans="1:5" ht="30" customHeight="1">
      <c r="A271" s="6">
        <v>269</v>
      </c>
      <c r="B271" s="6" t="str">
        <f>"299420210527141312109348"</f>
        <v>299420210527141312109348</v>
      </c>
      <c r="C271" s="6" t="s">
        <v>8</v>
      </c>
      <c r="D271" s="6" t="str">
        <f>"刘茹花"</f>
        <v>刘茹花</v>
      </c>
      <c r="E271" s="6" t="str">
        <f t="shared" si="11"/>
        <v>女</v>
      </c>
    </row>
    <row r="272" spans="1:5" ht="30" customHeight="1">
      <c r="A272" s="6">
        <v>270</v>
      </c>
      <c r="B272" s="6" t="str">
        <f>"299420210527151001109418"</f>
        <v>299420210527151001109418</v>
      </c>
      <c r="C272" s="6" t="s">
        <v>8</v>
      </c>
      <c r="D272" s="6" t="str">
        <f>"蔡荣雪"</f>
        <v>蔡荣雪</v>
      </c>
      <c r="E272" s="6" t="str">
        <f t="shared" si="11"/>
        <v>女</v>
      </c>
    </row>
    <row r="273" spans="1:5" ht="30" customHeight="1">
      <c r="A273" s="6">
        <v>271</v>
      </c>
      <c r="B273" s="6" t="str">
        <f>"299420210527151803109433"</f>
        <v>299420210527151803109433</v>
      </c>
      <c r="C273" s="6" t="s">
        <v>8</v>
      </c>
      <c r="D273" s="6" t="str">
        <f>"林福余"</f>
        <v>林福余</v>
      </c>
      <c r="E273" s="6" t="str">
        <f t="shared" si="11"/>
        <v>女</v>
      </c>
    </row>
    <row r="274" spans="1:5" ht="30" customHeight="1">
      <c r="A274" s="6">
        <v>272</v>
      </c>
      <c r="B274" s="6" t="str">
        <f>"299420210527152241109438"</f>
        <v>299420210527152241109438</v>
      </c>
      <c r="C274" s="6" t="s">
        <v>8</v>
      </c>
      <c r="D274" s="6" t="str">
        <f>"陈璐"</f>
        <v>陈璐</v>
      </c>
      <c r="E274" s="6" t="str">
        <f t="shared" si="11"/>
        <v>女</v>
      </c>
    </row>
    <row r="275" spans="1:5" ht="30" customHeight="1">
      <c r="A275" s="6">
        <v>273</v>
      </c>
      <c r="B275" s="6" t="str">
        <f>"299420210527152906109449"</f>
        <v>299420210527152906109449</v>
      </c>
      <c r="C275" s="6" t="s">
        <v>8</v>
      </c>
      <c r="D275" s="6" t="str">
        <f>"钟仙妍"</f>
        <v>钟仙妍</v>
      </c>
      <c r="E275" s="6" t="str">
        <f t="shared" si="11"/>
        <v>女</v>
      </c>
    </row>
    <row r="276" spans="1:5" ht="30" customHeight="1">
      <c r="A276" s="6">
        <v>274</v>
      </c>
      <c r="B276" s="6" t="str">
        <f>"299420210527155054109492"</f>
        <v>299420210527155054109492</v>
      </c>
      <c r="C276" s="6" t="s">
        <v>8</v>
      </c>
      <c r="D276" s="6" t="str">
        <f>"林惠"</f>
        <v>林惠</v>
      </c>
      <c r="E276" s="6" t="str">
        <f t="shared" si="11"/>
        <v>女</v>
      </c>
    </row>
    <row r="277" spans="1:5" ht="30" customHeight="1">
      <c r="A277" s="6">
        <v>275</v>
      </c>
      <c r="B277" s="6" t="str">
        <f>"299420210527155630109510"</f>
        <v>299420210527155630109510</v>
      </c>
      <c r="C277" s="6" t="s">
        <v>8</v>
      </c>
      <c r="D277" s="6" t="str">
        <f>"梁振花"</f>
        <v>梁振花</v>
      </c>
      <c r="E277" s="6" t="str">
        <f t="shared" si="11"/>
        <v>女</v>
      </c>
    </row>
    <row r="278" spans="1:5" ht="30" customHeight="1">
      <c r="A278" s="6">
        <v>276</v>
      </c>
      <c r="B278" s="6" t="str">
        <f>"299420210527162616109563"</f>
        <v>299420210527162616109563</v>
      </c>
      <c r="C278" s="6" t="s">
        <v>8</v>
      </c>
      <c r="D278" s="6" t="str">
        <f>"刘宁"</f>
        <v>刘宁</v>
      </c>
      <c r="E278" s="6" t="str">
        <f t="shared" si="11"/>
        <v>女</v>
      </c>
    </row>
    <row r="279" spans="1:5" ht="30" customHeight="1">
      <c r="A279" s="6">
        <v>277</v>
      </c>
      <c r="B279" s="6" t="str">
        <f>"299420210527163304109576"</f>
        <v>299420210527163304109576</v>
      </c>
      <c r="C279" s="6" t="s">
        <v>8</v>
      </c>
      <c r="D279" s="6" t="str">
        <f>"吴伯珍"</f>
        <v>吴伯珍</v>
      </c>
      <c r="E279" s="6" t="str">
        <f t="shared" si="11"/>
        <v>女</v>
      </c>
    </row>
    <row r="280" spans="1:5" ht="30" customHeight="1">
      <c r="A280" s="6">
        <v>278</v>
      </c>
      <c r="B280" s="6" t="str">
        <f>"299420210527211226109955"</f>
        <v>299420210527211226109955</v>
      </c>
      <c r="C280" s="6" t="s">
        <v>8</v>
      </c>
      <c r="D280" s="6" t="str">
        <f>"李妹"</f>
        <v>李妹</v>
      </c>
      <c r="E280" s="6" t="str">
        <f t="shared" si="11"/>
        <v>女</v>
      </c>
    </row>
    <row r="281" spans="1:5" ht="30" customHeight="1">
      <c r="A281" s="6">
        <v>279</v>
      </c>
      <c r="B281" s="6" t="str">
        <f>"299420210527220754110024"</f>
        <v>299420210527220754110024</v>
      </c>
      <c r="C281" s="6" t="s">
        <v>8</v>
      </c>
      <c r="D281" s="6" t="str">
        <f>"谢茜"</f>
        <v>谢茜</v>
      </c>
      <c r="E281" s="6" t="str">
        <f t="shared" si="11"/>
        <v>女</v>
      </c>
    </row>
    <row r="282" spans="1:5" ht="30" customHeight="1">
      <c r="A282" s="6">
        <v>280</v>
      </c>
      <c r="B282" s="6" t="str">
        <f>"299420210527223107110060"</f>
        <v>299420210527223107110060</v>
      </c>
      <c r="C282" s="6" t="s">
        <v>8</v>
      </c>
      <c r="D282" s="6" t="str">
        <f>"赵彩丹"</f>
        <v>赵彩丹</v>
      </c>
      <c r="E282" s="6" t="str">
        <f t="shared" si="11"/>
        <v>女</v>
      </c>
    </row>
    <row r="283" spans="1:5" ht="30" customHeight="1">
      <c r="A283" s="6">
        <v>281</v>
      </c>
      <c r="B283" s="6" t="str">
        <f>"299420210527224221110070"</f>
        <v>299420210527224221110070</v>
      </c>
      <c r="C283" s="6" t="s">
        <v>8</v>
      </c>
      <c r="D283" s="6" t="str">
        <f>"陈海芬"</f>
        <v>陈海芬</v>
      </c>
      <c r="E283" s="6" t="str">
        <f t="shared" si="11"/>
        <v>女</v>
      </c>
    </row>
    <row r="284" spans="1:5" ht="30" customHeight="1">
      <c r="A284" s="6">
        <v>282</v>
      </c>
      <c r="B284" s="6" t="str">
        <f>"299420210527225402110092"</f>
        <v>299420210527225402110092</v>
      </c>
      <c r="C284" s="6" t="s">
        <v>8</v>
      </c>
      <c r="D284" s="6" t="str">
        <f>"卓云娇"</f>
        <v>卓云娇</v>
      </c>
      <c r="E284" s="6" t="str">
        <f t="shared" si="11"/>
        <v>女</v>
      </c>
    </row>
    <row r="285" spans="1:5" ht="30" customHeight="1">
      <c r="A285" s="6">
        <v>283</v>
      </c>
      <c r="B285" s="6" t="str">
        <f>"299420210528083522110221"</f>
        <v>299420210528083522110221</v>
      </c>
      <c r="C285" s="6" t="s">
        <v>8</v>
      </c>
      <c r="D285" s="6" t="str">
        <f>"李艳娜"</f>
        <v>李艳娜</v>
      </c>
      <c r="E285" s="6" t="str">
        <f t="shared" si="11"/>
        <v>女</v>
      </c>
    </row>
    <row r="286" spans="1:5" ht="30" customHeight="1">
      <c r="A286" s="6">
        <v>284</v>
      </c>
      <c r="B286" s="6" t="str">
        <f>"299420210528084116110232"</f>
        <v>299420210528084116110232</v>
      </c>
      <c r="C286" s="6" t="s">
        <v>8</v>
      </c>
      <c r="D286" s="6" t="str">
        <f>"曾珍霞"</f>
        <v>曾珍霞</v>
      </c>
      <c r="E286" s="6" t="str">
        <f t="shared" si="11"/>
        <v>女</v>
      </c>
    </row>
    <row r="287" spans="1:5" ht="30" customHeight="1">
      <c r="A287" s="6">
        <v>285</v>
      </c>
      <c r="B287" s="6" t="str">
        <f>"299420210528092057110288"</f>
        <v>299420210528092057110288</v>
      </c>
      <c r="C287" s="6" t="s">
        <v>8</v>
      </c>
      <c r="D287" s="6" t="str">
        <f>"王正月"</f>
        <v>王正月</v>
      </c>
      <c r="E287" s="6" t="str">
        <f t="shared" si="11"/>
        <v>女</v>
      </c>
    </row>
    <row r="288" spans="1:5" ht="30" customHeight="1">
      <c r="A288" s="6">
        <v>286</v>
      </c>
      <c r="B288" s="6" t="str">
        <f>"299420210528094419110335"</f>
        <v>299420210528094419110335</v>
      </c>
      <c r="C288" s="6" t="s">
        <v>8</v>
      </c>
      <c r="D288" s="6" t="str">
        <f>"王念秋"</f>
        <v>王念秋</v>
      </c>
      <c r="E288" s="6" t="str">
        <f t="shared" si="11"/>
        <v>女</v>
      </c>
    </row>
    <row r="289" spans="1:5" ht="30" customHeight="1">
      <c r="A289" s="6">
        <v>287</v>
      </c>
      <c r="B289" s="6" t="str">
        <f>"299420210528094455110338"</f>
        <v>299420210528094455110338</v>
      </c>
      <c r="C289" s="6" t="s">
        <v>8</v>
      </c>
      <c r="D289" s="6" t="str">
        <f>"刘小清"</f>
        <v>刘小清</v>
      </c>
      <c r="E289" s="6" t="str">
        <f t="shared" si="11"/>
        <v>女</v>
      </c>
    </row>
    <row r="290" spans="1:5" ht="30" customHeight="1">
      <c r="A290" s="6">
        <v>288</v>
      </c>
      <c r="B290" s="6" t="str">
        <f>"299420210528095458110354"</f>
        <v>299420210528095458110354</v>
      </c>
      <c r="C290" s="6" t="s">
        <v>8</v>
      </c>
      <c r="D290" s="6" t="str">
        <f>"潘泉欣"</f>
        <v>潘泉欣</v>
      </c>
      <c r="E290" s="6" t="str">
        <f t="shared" si="11"/>
        <v>女</v>
      </c>
    </row>
    <row r="291" spans="1:5" ht="30" customHeight="1">
      <c r="A291" s="6">
        <v>289</v>
      </c>
      <c r="B291" s="6" t="str">
        <f>"299420210528102906110415"</f>
        <v>299420210528102906110415</v>
      </c>
      <c r="C291" s="6" t="s">
        <v>8</v>
      </c>
      <c r="D291" s="6" t="str">
        <f>"王巧婷"</f>
        <v>王巧婷</v>
      </c>
      <c r="E291" s="6" t="str">
        <f t="shared" si="11"/>
        <v>女</v>
      </c>
    </row>
    <row r="292" spans="1:5" ht="30" customHeight="1">
      <c r="A292" s="6">
        <v>290</v>
      </c>
      <c r="B292" s="6" t="str">
        <f>"299420210528105326110468"</f>
        <v>299420210528105326110468</v>
      </c>
      <c r="C292" s="6" t="s">
        <v>8</v>
      </c>
      <c r="D292" s="6" t="str">
        <f>"邝玉婷"</f>
        <v>邝玉婷</v>
      </c>
      <c r="E292" s="6" t="str">
        <f t="shared" si="11"/>
        <v>女</v>
      </c>
    </row>
    <row r="293" spans="1:5" ht="30" customHeight="1">
      <c r="A293" s="6">
        <v>291</v>
      </c>
      <c r="B293" s="6" t="str">
        <f>"299420210528110742110493"</f>
        <v>299420210528110742110493</v>
      </c>
      <c r="C293" s="6" t="s">
        <v>8</v>
      </c>
      <c r="D293" s="6" t="str">
        <f>"羊莲莉"</f>
        <v>羊莲莉</v>
      </c>
      <c r="E293" s="6" t="str">
        <f t="shared" si="11"/>
        <v>女</v>
      </c>
    </row>
    <row r="294" spans="1:5" ht="30" customHeight="1">
      <c r="A294" s="6">
        <v>292</v>
      </c>
      <c r="B294" s="6" t="str">
        <f>"299420210528113329110529"</f>
        <v>299420210528113329110529</v>
      </c>
      <c r="C294" s="6" t="s">
        <v>8</v>
      </c>
      <c r="D294" s="6" t="str">
        <f>"陈娇丽"</f>
        <v>陈娇丽</v>
      </c>
      <c r="E294" s="6" t="str">
        <f t="shared" si="11"/>
        <v>女</v>
      </c>
    </row>
    <row r="295" spans="1:5" ht="30" customHeight="1">
      <c r="A295" s="6">
        <v>293</v>
      </c>
      <c r="B295" s="6" t="str">
        <f>"299420210528122832110596"</f>
        <v>299420210528122832110596</v>
      </c>
      <c r="C295" s="6" t="s">
        <v>8</v>
      </c>
      <c r="D295" s="6" t="str">
        <f>"符学晶"</f>
        <v>符学晶</v>
      </c>
      <c r="E295" s="6" t="str">
        <f t="shared" si="11"/>
        <v>女</v>
      </c>
    </row>
    <row r="296" spans="1:5" ht="30" customHeight="1">
      <c r="A296" s="6">
        <v>294</v>
      </c>
      <c r="B296" s="6" t="str">
        <f>"299420210528125421110641"</f>
        <v>299420210528125421110641</v>
      </c>
      <c r="C296" s="6" t="s">
        <v>8</v>
      </c>
      <c r="D296" s="6" t="str">
        <f>"许海花"</f>
        <v>许海花</v>
      </c>
      <c r="E296" s="6" t="str">
        <f t="shared" si="11"/>
        <v>女</v>
      </c>
    </row>
    <row r="297" spans="1:5" ht="30" customHeight="1">
      <c r="A297" s="6">
        <v>295</v>
      </c>
      <c r="B297" s="6" t="str">
        <f>"299420210528154242110875"</f>
        <v>299420210528154242110875</v>
      </c>
      <c r="C297" s="6" t="s">
        <v>8</v>
      </c>
      <c r="D297" s="6" t="str">
        <f>"吴乙"</f>
        <v>吴乙</v>
      </c>
      <c r="E297" s="6" t="str">
        <f t="shared" si="11"/>
        <v>女</v>
      </c>
    </row>
    <row r="298" spans="1:5" ht="30" customHeight="1">
      <c r="A298" s="6">
        <v>296</v>
      </c>
      <c r="B298" s="6" t="str">
        <f>"299420210528154456110880"</f>
        <v>299420210528154456110880</v>
      </c>
      <c r="C298" s="6" t="s">
        <v>8</v>
      </c>
      <c r="D298" s="6" t="str">
        <f>"王烨"</f>
        <v>王烨</v>
      </c>
      <c r="E298" s="6" t="str">
        <f t="shared" si="11"/>
        <v>女</v>
      </c>
    </row>
    <row r="299" spans="1:5" ht="30" customHeight="1">
      <c r="A299" s="6">
        <v>297</v>
      </c>
      <c r="B299" s="6" t="str">
        <f>"299420210528155829110900"</f>
        <v>299420210528155829110900</v>
      </c>
      <c r="C299" s="6" t="s">
        <v>8</v>
      </c>
      <c r="D299" s="6" t="str">
        <f>"陈泽娇"</f>
        <v>陈泽娇</v>
      </c>
      <c r="E299" s="6" t="str">
        <f t="shared" si="11"/>
        <v>女</v>
      </c>
    </row>
    <row r="300" spans="1:5" ht="30" customHeight="1">
      <c r="A300" s="6">
        <v>298</v>
      </c>
      <c r="B300" s="6" t="str">
        <f>"299420210528163127110950"</f>
        <v>299420210528163127110950</v>
      </c>
      <c r="C300" s="6" t="s">
        <v>8</v>
      </c>
      <c r="D300" s="6" t="str">
        <f>"陈茗慧"</f>
        <v>陈茗慧</v>
      </c>
      <c r="E300" s="6" t="str">
        <f t="shared" si="11"/>
        <v>女</v>
      </c>
    </row>
    <row r="301" spans="1:5" ht="30" customHeight="1">
      <c r="A301" s="6">
        <v>299</v>
      </c>
      <c r="B301" s="6" t="str">
        <f>"299420210528173437111035"</f>
        <v>299420210528173437111035</v>
      </c>
      <c r="C301" s="6" t="s">
        <v>8</v>
      </c>
      <c r="D301" s="6" t="str">
        <f>"陈劲诗"</f>
        <v>陈劲诗</v>
      </c>
      <c r="E301" s="6" t="str">
        <f t="shared" si="11"/>
        <v>女</v>
      </c>
    </row>
    <row r="302" spans="1:5" ht="30" customHeight="1">
      <c r="A302" s="6">
        <v>300</v>
      </c>
      <c r="B302" s="6" t="str">
        <f>"299420210528181537111090"</f>
        <v>299420210528181537111090</v>
      </c>
      <c r="C302" s="6" t="s">
        <v>8</v>
      </c>
      <c r="D302" s="6" t="str">
        <f>"杜丽佳"</f>
        <v>杜丽佳</v>
      </c>
      <c r="E302" s="6" t="str">
        <f t="shared" si="11"/>
        <v>女</v>
      </c>
    </row>
    <row r="303" spans="1:5" ht="30" customHeight="1">
      <c r="A303" s="6">
        <v>301</v>
      </c>
      <c r="B303" s="6" t="str">
        <f>"299420210528190332111134"</f>
        <v>299420210528190332111134</v>
      </c>
      <c r="C303" s="6" t="s">
        <v>8</v>
      </c>
      <c r="D303" s="6" t="str">
        <f>"吴慧"</f>
        <v>吴慧</v>
      </c>
      <c r="E303" s="6" t="str">
        <f t="shared" si="11"/>
        <v>女</v>
      </c>
    </row>
    <row r="304" spans="1:5" ht="30" customHeight="1">
      <c r="A304" s="6">
        <v>302</v>
      </c>
      <c r="B304" s="6" t="str">
        <f>"299420210528211537111249"</f>
        <v>299420210528211537111249</v>
      </c>
      <c r="C304" s="6" t="s">
        <v>8</v>
      </c>
      <c r="D304" s="6" t="str">
        <f>"吴富菊"</f>
        <v>吴富菊</v>
      </c>
      <c r="E304" s="6" t="str">
        <f t="shared" si="11"/>
        <v>女</v>
      </c>
    </row>
    <row r="305" spans="1:5" ht="30" customHeight="1">
      <c r="A305" s="6">
        <v>303</v>
      </c>
      <c r="B305" s="6" t="str">
        <f>"299420210528221532111307"</f>
        <v>299420210528221532111307</v>
      </c>
      <c r="C305" s="6" t="s">
        <v>8</v>
      </c>
      <c r="D305" s="6" t="str">
        <f>"王玉香"</f>
        <v>王玉香</v>
      </c>
      <c r="E305" s="6" t="str">
        <f aca="true" t="shared" si="12" ref="E305:E319">"女"</f>
        <v>女</v>
      </c>
    </row>
    <row r="306" spans="1:5" ht="30" customHeight="1">
      <c r="A306" s="6">
        <v>304</v>
      </c>
      <c r="B306" s="6" t="str">
        <f>"299420210528231225111350"</f>
        <v>299420210528231225111350</v>
      </c>
      <c r="C306" s="6" t="s">
        <v>8</v>
      </c>
      <c r="D306" s="6" t="str">
        <f>"毛泽秋"</f>
        <v>毛泽秋</v>
      </c>
      <c r="E306" s="6" t="str">
        <f t="shared" si="12"/>
        <v>女</v>
      </c>
    </row>
    <row r="307" spans="1:5" ht="30" customHeight="1">
      <c r="A307" s="6">
        <v>305</v>
      </c>
      <c r="B307" s="6" t="str">
        <f>"299420210529092743111438"</f>
        <v>299420210529092743111438</v>
      </c>
      <c r="C307" s="6" t="s">
        <v>8</v>
      </c>
      <c r="D307" s="6" t="str">
        <f>"曾秀爱"</f>
        <v>曾秀爱</v>
      </c>
      <c r="E307" s="6" t="str">
        <f t="shared" si="12"/>
        <v>女</v>
      </c>
    </row>
    <row r="308" spans="1:5" ht="30" customHeight="1">
      <c r="A308" s="6">
        <v>306</v>
      </c>
      <c r="B308" s="6" t="str">
        <f>"299420210529094423111455"</f>
        <v>299420210529094423111455</v>
      </c>
      <c r="C308" s="6" t="s">
        <v>8</v>
      </c>
      <c r="D308" s="6" t="str">
        <f>"何应蕊"</f>
        <v>何应蕊</v>
      </c>
      <c r="E308" s="6" t="str">
        <f t="shared" si="12"/>
        <v>女</v>
      </c>
    </row>
    <row r="309" spans="1:5" ht="30" customHeight="1">
      <c r="A309" s="6">
        <v>307</v>
      </c>
      <c r="B309" s="6" t="str">
        <f>"299420210529101638111479"</f>
        <v>299420210529101638111479</v>
      </c>
      <c r="C309" s="6" t="s">
        <v>8</v>
      </c>
      <c r="D309" s="6" t="str">
        <f>"颜斌珍"</f>
        <v>颜斌珍</v>
      </c>
      <c r="E309" s="6" t="str">
        <f t="shared" si="12"/>
        <v>女</v>
      </c>
    </row>
    <row r="310" spans="1:5" ht="30" customHeight="1">
      <c r="A310" s="6">
        <v>308</v>
      </c>
      <c r="B310" s="6" t="str">
        <f>"299420210529102141111481"</f>
        <v>299420210529102141111481</v>
      </c>
      <c r="C310" s="6" t="s">
        <v>8</v>
      </c>
      <c r="D310" s="6" t="str">
        <f>"陈姑梅"</f>
        <v>陈姑梅</v>
      </c>
      <c r="E310" s="6" t="str">
        <f t="shared" si="12"/>
        <v>女</v>
      </c>
    </row>
    <row r="311" spans="1:5" ht="30" customHeight="1">
      <c r="A311" s="6">
        <v>309</v>
      </c>
      <c r="B311" s="6" t="str">
        <f>"299420210529102537111487"</f>
        <v>299420210529102537111487</v>
      </c>
      <c r="C311" s="6" t="s">
        <v>8</v>
      </c>
      <c r="D311" s="6" t="str">
        <f>"赵傲华"</f>
        <v>赵傲华</v>
      </c>
      <c r="E311" s="6" t="str">
        <f t="shared" si="12"/>
        <v>女</v>
      </c>
    </row>
    <row r="312" spans="1:5" ht="30" customHeight="1">
      <c r="A312" s="6">
        <v>310</v>
      </c>
      <c r="B312" s="6" t="str">
        <f>"299420210529102901111491"</f>
        <v>299420210529102901111491</v>
      </c>
      <c r="C312" s="6" t="s">
        <v>8</v>
      </c>
      <c r="D312" s="6" t="str">
        <f>"周萍"</f>
        <v>周萍</v>
      </c>
      <c r="E312" s="6" t="str">
        <f t="shared" si="12"/>
        <v>女</v>
      </c>
    </row>
    <row r="313" spans="1:5" ht="30" customHeight="1">
      <c r="A313" s="6">
        <v>311</v>
      </c>
      <c r="B313" s="6" t="str">
        <f>"299420210529113757111568"</f>
        <v>299420210529113757111568</v>
      </c>
      <c r="C313" s="6" t="s">
        <v>8</v>
      </c>
      <c r="D313" s="6" t="str">
        <f>"云雯"</f>
        <v>云雯</v>
      </c>
      <c r="E313" s="6" t="str">
        <f t="shared" si="12"/>
        <v>女</v>
      </c>
    </row>
    <row r="314" spans="1:5" ht="30" customHeight="1">
      <c r="A314" s="6">
        <v>312</v>
      </c>
      <c r="B314" s="6" t="str">
        <f>"299420210529114747111582"</f>
        <v>299420210529114747111582</v>
      </c>
      <c r="C314" s="6" t="s">
        <v>8</v>
      </c>
      <c r="D314" s="6" t="str">
        <f>"林琅"</f>
        <v>林琅</v>
      </c>
      <c r="E314" s="6" t="str">
        <f t="shared" si="12"/>
        <v>女</v>
      </c>
    </row>
    <row r="315" spans="1:5" ht="30" customHeight="1">
      <c r="A315" s="6">
        <v>313</v>
      </c>
      <c r="B315" s="6" t="str">
        <f>"299420210529155912111734"</f>
        <v>299420210529155912111734</v>
      </c>
      <c r="C315" s="6" t="s">
        <v>8</v>
      </c>
      <c r="D315" s="6" t="str">
        <f>"梁海姗"</f>
        <v>梁海姗</v>
      </c>
      <c r="E315" s="6" t="str">
        <f t="shared" si="12"/>
        <v>女</v>
      </c>
    </row>
    <row r="316" spans="1:5" ht="30" customHeight="1">
      <c r="A316" s="6">
        <v>314</v>
      </c>
      <c r="B316" s="6" t="str">
        <f>"299420210529211601111907"</f>
        <v>299420210529211601111907</v>
      </c>
      <c r="C316" s="6" t="s">
        <v>8</v>
      </c>
      <c r="D316" s="6" t="str">
        <f>"倪津津"</f>
        <v>倪津津</v>
      </c>
      <c r="E316" s="6" t="str">
        <f t="shared" si="12"/>
        <v>女</v>
      </c>
    </row>
    <row r="317" spans="1:5" ht="30" customHeight="1">
      <c r="A317" s="6">
        <v>315</v>
      </c>
      <c r="B317" s="6" t="str">
        <f>"299420210529212626111917"</f>
        <v>299420210529212626111917</v>
      </c>
      <c r="C317" s="6" t="s">
        <v>8</v>
      </c>
      <c r="D317" s="6" t="str">
        <f>"郑志芳"</f>
        <v>郑志芳</v>
      </c>
      <c r="E317" s="6" t="str">
        <f t="shared" si="12"/>
        <v>女</v>
      </c>
    </row>
    <row r="318" spans="1:5" ht="30" customHeight="1">
      <c r="A318" s="6">
        <v>316</v>
      </c>
      <c r="B318" s="6" t="str">
        <f>"299420210530095352112114"</f>
        <v>299420210530095352112114</v>
      </c>
      <c r="C318" s="6" t="s">
        <v>8</v>
      </c>
      <c r="D318" s="6" t="str">
        <f>"吴兴兰"</f>
        <v>吴兴兰</v>
      </c>
      <c r="E318" s="6" t="str">
        <f t="shared" si="12"/>
        <v>女</v>
      </c>
    </row>
    <row r="319" spans="1:5" ht="30" customHeight="1">
      <c r="A319" s="6">
        <v>317</v>
      </c>
      <c r="B319" s="6" t="str">
        <f>"299420210530101750112143"</f>
        <v>299420210530101750112143</v>
      </c>
      <c r="C319" s="6" t="s">
        <v>8</v>
      </c>
      <c r="D319" s="6" t="str">
        <f>"邢巧云"</f>
        <v>邢巧云</v>
      </c>
      <c r="E319" s="6" t="str">
        <f t="shared" si="12"/>
        <v>女</v>
      </c>
    </row>
    <row r="320" spans="1:5" ht="30" customHeight="1">
      <c r="A320" s="6">
        <v>318</v>
      </c>
      <c r="B320" s="6" t="str">
        <f>"299420210530110825112196"</f>
        <v>299420210530110825112196</v>
      </c>
      <c r="C320" s="6" t="s">
        <v>8</v>
      </c>
      <c r="D320" s="6" t="str">
        <f>"林明锭"</f>
        <v>林明锭</v>
      </c>
      <c r="E320" s="6" t="str">
        <f>"男"</f>
        <v>男</v>
      </c>
    </row>
    <row r="321" spans="1:5" ht="30" customHeight="1">
      <c r="A321" s="6">
        <v>319</v>
      </c>
      <c r="B321" s="6" t="str">
        <f>"299420210530114139112227"</f>
        <v>299420210530114139112227</v>
      </c>
      <c r="C321" s="6" t="s">
        <v>8</v>
      </c>
      <c r="D321" s="6" t="str">
        <f>"吴恒"</f>
        <v>吴恒</v>
      </c>
      <c r="E321" s="6" t="str">
        <f>"女"</f>
        <v>女</v>
      </c>
    </row>
    <row r="322" spans="1:5" ht="30" customHeight="1">
      <c r="A322" s="6">
        <v>320</v>
      </c>
      <c r="B322" s="6" t="str">
        <f>"299420210530152130112363"</f>
        <v>299420210530152130112363</v>
      </c>
      <c r="C322" s="6" t="s">
        <v>8</v>
      </c>
      <c r="D322" s="6" t="str">
        <f>"陈云"</f>
        <v>陈云</v>
      </c>
      <c r="E322" s="6" t="str">
        <f>"女"</f>
        <v>女</v>
      </c>
    </row>
    <row r="323" spans="1:5" ht="30" customHeight="1">
      <c r="A323" s="6">
        <v>321</v>
      </c>
      <c r="B323" s="6" t="str">
        <f>"299420210530201543112592"</f>
        <v>299420210530201543112592</v>
      </c>
      <c r="C323" s="6" t="s">
        <v>8</v>
      </c>
      <c r="D323" s="6" t="str">
        <f>"王超"</f>
        <v>王超</v>
      </c>
      <c r="E323" s="6" t="str">
        <f>"男"</f>
        <v>男</v>
      </c>
    </row>
    <row r="324" spans="1:5" ht="30" customHeight="1">
      <c r="A324" s="6">
        <v>322</v>
      </c>
      <c r="B324" s="6" t="str">
        <f>"299420210530204530112627"</f>
        <v>299420210530204530112627</v>
      </c>
      <c r="C324" s="6" t="s">
        <v>8</v>
      </c>
      <c r="D324" s="6" t="str">
        <f>"符夏梅"</f>
        <v>符夏梅</v>
      </c>
      <c r="E324" s="6" t="str">
        <f>"女"</f>
        <v>女</v>
      </c>
    </row>
    <row r="325" spans="1:5" ht="30" customHeight="1">
      <c r="A325" s="6">
        <v>323</v>
      </c>
      <c r="B325" s="6" t="str">
        <f>"299420210530214114112706"</f>
        <v>299420210530214114112706</v>
      </c>
      <c r="C325" s="6" t="s">
        <v>8</v>
      </c>
      <c r="D325" s="6" t="str">
        <f>"蔡小莲"</f>
        <v>蔡小莲</v>
      </c>
      <c r="E325" s="6" t="str">
        <f>"女"</f>
        <v>女</v>
      </c>
    </row>
    <row r="326" spans="1:5" ht="30" customHeight="1">
      <c r="A326" s="6">
        <v>324</v>
      </c>
      <c r="B326" s="6" t="str">
        <f>"299420210530231621112843"</f>
        <v>299420210530231621112843</v>
      </c>
      <c r="C326" s="6" t="s">
        <v>8</v>
      </c>
      <c r="D326" s="6" t="str">
        <f>"覃家敏"</f>
        <v>覃家敏</v>
      </c>
      <c r="E326" s="6" t="str">
        <f>"男"</f>
        <v>男</v>
      </c>
    </row>
    <row r="327" spans="1:5" ht="30" customHeight="1">
      <c r="A327" s="6">
        <v>325</v>
      </c>
      <c r="B327" s="6" t="str">
        <f>"299420210530232512112851"</f>
        <v>299420210530232512112851</v>
      </c>
      <c r="C327" s="6" t="s">
        <v>8</v>
      </c>
      <c r="D327" s="6" t="str">
        <f>"王乃朴"</f>
        <v>王乃朴</v>
      </c>
      <c r="E327" s="6" t="str">
        <f>"男"</f>
        <v>男</v>
      </c>
    </row>
    <row r="328" spans="1:5" ht="30" customHeight="1">
      <c r="A328" s="6">
        <v>326</v>
      </c>
      <c r="B328" s="6" t="str">
        <f>"299420210531001535112886"</f>
        <v>299420210531001535112886</v>
      </c>
      <c r="C328" s="6" t="s">
        <v>8</v>
      </c>
      <c r="D328" s="6" t="str">
        <f>"吴泽姣"</f>
        <v>吴泽姣</v>
      </c>
      <c r="E328" s="6" t="str">
        <f aca="true" t="shared" si="13" ref="E328:E334">"女"</f>
        <v>女</v>
      </c>
    </row>
    <row r="329" spans="1:5" ht="30" customHeight="1">
      <c r="A329" s="6">
        <v>327</v>
      </c>
      <c r="B329" s="6" t="str">
        <f>"299420210531083631112966"</f>
        <v>299420210531083631112966</v>
      </c>
      <c r="C329" s="6" t="s">
        <v>8</v>
      </c>
      <c r="D329" s="6" t="str">
        <f>"苏欣欣"</f>
        <v>苏欣欣</v>
      </c>
      <c r="E329" s="6" t="str">
        <f t="shared" si="13"/>
        <v>女</v>
      </c>
    </row>
    <row r="330" spans="1:5" ht="30" customHeight="1">
      <c r="A330" s="6">
        <v>328</v>
      </c>
      <c r="B330" s="6" t="str">
        <f>"299420210531083747112968"</f>
        <v>299420210531083747112968</v>
      </c>
      <c r="C330" s="6" t="s">
        <v>8</v>
      </c>
      <c r="D330" s="6" t="str">
        <f>"李嘉丽"</f>
        <v>李嘉丽</v>
      </c>
      <c r="E330" s="6" t="str">
        <f t="shared" si="13"/>
        <v>女</v>
      </c>
    </row>
    <row r="331" spans="1:5" ht="30" customHeight="1">
      <c r="A331" s="6">
        <v>329</v>
      </c>
      <c r="B331" s="6" t="str">
        <f>"299420210531091436113014"</f>
        <v>299420210531091436113014</v>
      </c>
      <c r="C331" s="6" t="s">
        <v>8</v>
      </c>
      <c r="D331" s="6" t="str">
        <f>"王怡"</f>
        <v>王怡</v>
      </c>
      <c r="E331" s="6" t="str">
        <f t="shared" si="13"/>
        <v>女</v>
      </c>
    </row>
    <row r="332" spans="1:5" ht="30" customHeight="1">
      <c r="A332" s="6">
        <v>330</v>
      </c>
      <c r="B332" s="6" t="str">
        <f>"299420210531092844113043"</f>
        <v>299420210531092844113043</v>
      </c>
      <c r="C332" s="6" t="s">
        <v>8</v>
      </c>
      <c r="D332" s="6" t="str">
        <f>"万卓秀"</f>
        <v>万卓秀</v>
      </c>
      <c r="E332" s="6" t="str">
        <f t="shared" si="13"/>
        <v>女</v>
      </c>
    </row>
    <row r="333" spans="1:5" ht="30" customHeight="1">
      <c r="A333" s="6">
        <v>331</v>
      </c>
      <c r="B333" s="6" t="str">
        <f>"299420210531093222113051"</f>
        <v>299420210531093222113051</v>
      </c>
      <c r="C333" s="6" t="s">
        <v>8</v>
      </c>
      <c r="D333" s="6" t="str">
        <f>"陈芳燕"</f>
        <v>陈芳燕</v>
      </c>
      <c r="E333" s="6" t="str">
        <f t="shared" si="13"/>
        <v>女</v>
      </c>
    </row>
    <row r="334" spans="1:5" ht="30" customHeight="1">
      <c r="A334" s="6">
        <v>332</v>
      </c>
      <c r="B334" s="6" t="str">
        <f>"299420210531103028113154"</f>
        <v>299420210531103028113154</v>
      </c>
      <c r="C334" s="6" t="s">
        <v>8</v>
      </c>
      <c r="D334" s="6" t="str">
        <f>"吴琳"</f>
        <v>吴琳</v>
      </c>
      <c r="E334" s="6" t="str">
        <f t="shared" si="13"/>
        <v>女</v>
      </c>
    </row>
    <row r="335" spans="1:5" ht="30" customHeight="1">
      <c r="A335" s="6">
        <v>333</v>
      </c>
      <c r="B335" s="6" t="str">
        <f>"299420210531103556113167"</f>
        <v>299420210531103556113167</v>
      </c>
      <c r="C335" s="6" t="s">
        <v>8</v>
      </c>
      <c r="D335" s="6" t="str">
        <f>"吴乾弘"</f>
        <v>吴乾弘</v>
      </c>
      <c r="E335" s="6" t="str">
        <f>"男"</f>
        <v>男</v>
      </c>
    </row>
    <row r="336" spans="1:5" ht="30" customHeight="1">
      <c r="A336" s="6">
        <v>334</v>
      </c>
      <c r="B336" s="6" t="str">
        <f>"299420210531110650113221"</f>
        <v>299420210531110650113221</v>
      </c>
      <c r="C336" s="6" t="s">
        <v>8</v>
      </c>
      <c r="D336" s="6" t="str">
        <f>"吴金琼"</f>
        <v>吴金琼</v>
      </c>
      <c r="E336" s="6" t="str">
        <f>"女"</f>
        <v>女</v>
      </c>
    </row>
    <row r="337" spans="1:5" ht="30" customHeight="1">
      <c r="A337" s="6">
        <v>335</v>
      </c>
      <c r="B337" s="6" t="str">
        <f>"299420210531125314113356"</f>
        <v>299420210531125314113356</v>
      </c>
      <c r="C337" s="6" t="s">
        <v>8</v>
      </c>
      <c r="D337" s="6" t="str">
        <f>"洪蕾"</f>
        <v>洪蕾</v>
      </c>
      <c r="E337" s="6" t="str">
        <f>"女"</f>
        <v>女</v>
      </c>
    </row>
    <row r="338" spans="1:5" ht="30" customHeight="1">
      <c r="A338" s="6">
        <v>336</v>
      </c>
      <c r="B338" s="6" t="str">
        <f>"299420210531125829113365"</f>
        <v>299420210531125829113365</v>
      </c>
      <c r="C338" s="6" t="s">
        <v>8</v>
      </c>
      <c r="D338" s="6" t="str">
        <f>"曾英桃"</f>
        <v>曾英桃</v>
      </c>
      <c r="E338" s="6" t="str">
        <f>"女"</f>
        <v>女</v>
      </c>
    </row>
    <row r="339" spans="1:5" ht="30" customHeight="1">
      <c r="A339" s="6">
        <v>337</v>
      </c>
      <c r="B339" s="6" t="str">
        <f>"299420210531133948113431"</f>
        <v>299420210531133948113431</v>
      </c>
      <c r="C339" s="6" t="s">
        <v>8</v>
      </c>
      <c r="D339" s="6" t="str">
        <f>"黄晓雯"</f>
        <v>黄晓雯</v>
      </c>
      <c r="E339" s="6" t="str">
        <f>"女"</f>
        <v>女</v>
      </c>
    </row>
    <row r="340" spans="1:5" ht="30" customHeight="1">
      <c r="A340" s="6">
        <v>338</v>
      </c>
      <c r="B340" s="6" t="str">
        <f>"299420210531143905113487"</f>
        <v>299420210531143905113487</v>
      </c>
      <c r="C340" s="6" t="s">
        <v>8</v>
      </c>
      <c r="D340" s="6" t="str">
        <f>"刘龙桢"</f>
        <v>刘龙桢</v>
      </c>
      <c r="E340" s="6" t="str">
        <f>"女"</f>
        <v>女</v>
      </c>
    </row>
    <row r="341" spans="1:5" ht="30" customHeight="1">
      <c r="A341" s="6">
        <v>339</v>
      </c>
      <c r="B341" s="6" t="str">
        <f>"299420210531145408113513"</f>
        <v>299420210531145408113513</v>
      </c>
      <c r="C341" s="6" t="s">
        <v>8</v>
      </c>
      <c r="D341" s="6" t="str">
        <f>"郑康"</f>
        <v>郑康</v>
      </c>
      <c r="E341" s="6" t="str">
        <f>"男"</f>
        <v>男</v>
      </c>
    </row>
    <row r="342" spans="1:5" ht="30" customHeight="1">
      <c r="A342" s="6">
        <v>340</v>
      </c>
      <c r="B342" s="6" t="str">
        <f>"299420210531161328113646"</f>
        <v>299420210531161328113646</v>
      </c>
      <c r="C342" s="6" t="s">
        <v>8</v>
      </c>
      <c r="D342" s="6" t="str">
        <f>"符向东"</f>
        <v>符向东</v>
      </c>
      <c r="E342" s="6" t="str">
        <f aca="true" t="shared" si="14" ref="E342:E363">"女"</f>
        <v>女</v>
      </c>
    </row>
    <row r="343" spans="1:5" ht="30" customHeight="1">
      <c r="A343" s="6">
        <v>341</v>
      </c>
      <c r="B343" s="6" t="str">
        <f>"299420210531164722113690"</f>
        <v>299420210531164722113690</v>
      </c>
      <c r="C343" s="6" t="s">
        <v>8</v>
      </c>
      <c r="D343" s="6" t="str">
        <f>"符芳莹"</f>
        <v>符芳莹</v>
      </c>
      <c r="E343" s="6" t="str">
        <f t="shared" si="14"/>
        <v>女</v>
      </c>
    </row>
    <row r="344" spans="1:5" ht="30" customHeight="1">
      <c r="A344" s="6">
        <v>342</v>
      </c>
      <c r="B344" s="6" t="str">
        <f>"299420210525090232104252"</f>
        <v>299420210525090232104252</v>
      </c>
      <c r="C344" s="6" t="s">
        <v>9</v>
      </c>
      <c r="D344" s="6" t="str">
        <f>"吴雪玲"</f>
        <v>吴雪玲</v>
      </c>
      <c r="E344" s="6" t="str">
        <f t="shared" si="14"/>
        <v>女</v>
      </c>
    </row>
    <row r="345" spans="1:5" ht="30" customHeight="1">
      <c r="A345" s="6">
        <v>343</v>
      </c>
      <c r="B345" s="6" t="str">
        <f>"299420210525090825104293"</f>
        <v>299420210525090825104293</v>
      </c>
      <c r="C345" s="6" t="s">
        <v>9</v>
      </c>
      <c r="D345" s="6" t="str">
        <f>"王小霞"</f>
        <v>王小霞</v>
      </c>
      <c r="E345" s="6" t="str">
        <f t="shared" si="14"/>
        <v>女</v>
      </c>
    </row>
    <row r="346" spans="1:5" ht="30" customHeight="1">
      <c r="A346" s="6">
        <v>344</v>
      </c>
      <c r="B346" s="6" t="str">
        <f>"299420210525091102104316"</f>
        <v>299420210525091102104316</v>
      </c>
      <c r="C346" s="6" t="s">
        <v>9</v>
      </c>
      <c r="D346" s="6" t="str">
        <f>"符淑娇"</f>
        <v>符淑娇</v>
      </c>
      <c r="E346" s="6" t="str">
        <f t="shared" si="14"/>
        <v>女</v>
      </c>
    </row>
    <row r="347" spans="1:5" ht="30" customHeight="1">
      <c r="A347" s="6">
        <v>345</v>
      </c>
      <c r="B347" s="6" t="str">
        <f>"299420210525091103104317"</f>
        <v>299420210525091103104317</v>
      </c>
      <c r="C347" s="6" t="s">
        <v>9</v>
      </c>
      <c r="D347" s="6" t="str">
        <f>"扶艳萍"</f>
        <v>扶艳萍</v>
      </c>
      <c r="E347" s="6" t="str">
        <f t="shared" si="14"/>
        <v>女</v>
      </c>
    </row>
    <row r="348" spans="1:5" ht="30" customHeight="1">
      <c r="A348" s="6">
        <v>346</v>
      </c>
      <c r="B348" s="6" t="str">
        <f>"299420210525091459104340"</f>
        <v>299420210525091459104340</v>
      </c>
      <c r="C348" s="6" t="s">
        <v>9</v>
      </c>
      <c r="D348" s="6" t="str">
        <f>"王宏伟"</f>
        <v>王宏伟</v>
      </c>
      <c r="E348" s="6" t="str">
        <f t="shared" si="14"/>
        <v>女</v>
      </c>
    </row>
    <row r="349" spans="1:5" ht="30" customHeight="1">
      <c r="A349" s="6">
        <v>347</v>
      </c>
      <c r="B349" s="6" t="str">
        <f>"299420210525091847104364"</f>
        <v>299420210525091847104364</v>
      </c>
      <c r="C349" s="6" t="s">
        <v>9</v>
      </c>
      <c r="D349" s="6" t="str">
        <f>"李佳玲"</f>
        <v>李佳玲</v>
      </c>
      <c r="E349" s="6" t="str">
        <f t="shared" si="14"/>
        <v>女</v>
      </c>
    </row>
    <row r="350" spans="1:5" ht="30" customHeight="1">
      <c r="A350" s="6">
        <v>348</v>
      </c>
      <c r="B350" s="6" t="str">
        <f>"299420210525092706104408"</f>
        <v>299420210525092706104408</v>
      </c>
      <c r="C350" s="6" t="s">
        <v>9</v>
      </c>
      <c r="D350" s="6" t="str">
        <f>"龙夏妲"</f>
        <v>龙夏妲</v>
      </c>
      <c r="E350" s="6" t="str">
        <f t="shared" si="14"/>
        <v>女</v>
      </c>
    </row>
    <row r="351" spans="1:5" ht="30" customHeight="1">
      <c r="A351" s="6">
        <v>349</v>
      </c>
      <c r="B351" s="6" t="str">
        <f>"299420210525093443104448"</f>
        <v>299420210525093443104448</v>
      </c>
      <c r="C351" s="6" t="s">
        <v>9</v>
      </c>
      <c r="D351" s="6" t="str">
        <f>"周艳"</f>
        <v>周艳</v>
      </c>
      <c r="E351" s="6" t="str">
        <f t="shared" si="14"/>
        <v>女</v>
      </c>
    </row>
    <row r="352" spans="1:5" ht="30" customHeight="1">
      <c r="A352" s="6">
        <v>350</v>
      </c>
      <c r="B352" s="6" t="str">
        <f>"299420210525094832104539"</f>
        <v>299420210525094832104539</v>
      </c>
      <c r="C352" s="6" t="s">
        <v>9</v>
      </c>
      <c r="D352" s="6" t="str">
        <f>"吕精妹"</f>
        <v>吕精妹</v>
      </c>
      <c r="E352" s="6" t="str">
        <f t="shared" si="14"/>
        <v>女</v>
      </c>
    </row>
    <row r="353" spans="1:5" ht="30" customHeight="1">
      <c r="A353" s="6">
        <v>351</v>
      </c>
      <c r="B353" s="6" t="str">
        <f>"299420210525100007104601"</f>
        <v>299420210525100007104601</v>
      </c>
      <c r="C353" s="6" t="s">
        <v>9</v>
      </c>
      <c r="D353" s="6" t="str">
        <f>"谭彩玲"</f>
        <v>谭彩玲</v>
      </c>
      <c r="E353" s="6" t="str">
        <f t="shared" si="14"/>
        <v>女</v>
      </c>
    </row>
    <row r="354" spans="1:5" ht="30" customHeight="1">
      <c r="A354" s="6">
        <v>352</v>
      </c>
      <c r="B354" s="6" t="str">
        <f>"299420210525100316104619"</f>
        <v>299420210525100316104619</v>
      </c>
      <c r="C354" s="6" t="s">
        <v>9</v>
      </c>
      <c r="D354" s="6" t="str">
        <f>"陈金丹"</f>
        <v>陈金丹</v>
      </c>
      <c r="E354" s="6" t="str">
        <f t="shared" si="14"/>
        <v>女</v>
      </c>
    </row>
    <row r="355" spans="1:5" ht="30" customHeight="1">
      <c r="A355" s="6">
        <v>353</v>
      </c>
      <c r="B355" s="6" t="str">
        <f>"299420210525100718104640"</f>
        <v>299420210525100718104640</v>
      </c>
      <c r="C355" s="6" t="s">
        <v>9</v>
      </c>
      <c r="D355" s="6" t="str">
        <f>"林珂珂"</f>
        <v>林珂珂</v>
      </c>
      <c r="E355" s="6" t="str">
        <f t="shared" si="14"/>
        <v>女</v>
      </c>
    </row>
    <row r="356" spans="1:5" ht="30" customHeight="1">
      <c r="A356" s="6">
        <v>354</v>
      </c>
      <c r="B356" s="6" t="str">
        <f>"299420210525101257104673"</f>
        <v>299420210525101257104673</v>
      </c>
      <c r="C356" s="6" t="s">
        <v>9</v>
      </c>
      <c r="D356" s="6" t="str">
        <f>"王春燕"</f>
        <v>王春燕</v>
      </c>
      <c r="E356" s="6" t="str">
        <f t="shared" si="14"/>
        <v>女</v>
      </c>
    </row>
    <row r="357" spans="1:5" ht="30" customHeight="1">
      <c r="A357" s="6">
        <v>355</v>
      </c>
      <c r="B357" s="6" t="str">
        <f>"299420210525102214104734"</f>
        <v>299420210525102214104734</v>
      </c>
      <c r="C357" s="6" t="s">
        <v>9</v>
      </c>
      <c r="D357" s="6" t="str">
        <f>"陈文娇"</f>
        <v>陈文娇</v>
      </c>
      <c r="E357" s="6" t="str">
        <f t="shared" si="14"/>
        <v>女</v>
      </c>
    </row>
    <row r="358" spans="1:5" ht="30" customHeight="1">
      <c r="A358" s="6">
        <v>356</v>
      </c>
      <c r="B358" s="6" t="str">
        <f>"299420210525103243104810"</f>
        <v>299420210525103243104810</v>
      </c>
      <c r="C358" s="6" t="s">
        <v>9</v>
      </c>
      <c r="D358" s="6" t="str">
        <f>"陈东菁"</f>
        <v>陈东菁</v>
      </c>
      <c r="E358" s="6" t="str">
        <f t="shared" si="14"/>
        <v>女</v>
      </c>
    </row>
    <row r="359" spans="1:5" ht="30" customHeight="1">
      <c r="A359" s="6">
        <v>357</v>
      </c>
      <c r="B359" s="6" t="str">
        <f>"299420210525103522104833"</f>
        <v>299420210525103522104833</v>
      </c>
      <c r="C359" s="6" t="s">
        <v>9</v>
      </c>
      <c r="D359" s="6" t="str">
        <f>"谢克振"</f>
        <v>谢克振</v>
      </c>
      <c r="E359" s="6" t="str">
        <f t="shared" si="14"/>
        <v>女</v>
      </c>
    </row>
    <row r="360" spans="1:5" ht="30" customHeight="1">
      <c r="A360" s="6">
        <v>358</v>
      </c>
      <c r="B360" s="6" t="str">
        <f>"299420210525103750104851"</f>
        <v>299420210525103750104851</v>
      </c>
      <c r="C360" s="6" t="s">
        <v>9</v>
      </c>
      <c r="D360" s="6" t="str">
        <f>"黄国琴"</f>
        <v>黄国琴</v>
      </c>
      <c r="E360" s="6" t="str">
        <f t="shared" si="14"/>
        <v>女</v>
      </c>
    </row>
    <row r="361" spans="1:5" ht="30" customHeight="1">
      <c r="A361" s="6">
        <v>359</v>
      </c>
      <c r="B361" s="6" t="str">
        <f>"299420210525103827104854"</f>
        <v>299420210525103827104854</v>
      </c>
      <c r="C361" s="6" t="s">
        <v>9</v>
      </c>
      <c r="D361" s="6" t="str">
        <f>"洪小杏"</f>
        <v>洪小杏</v>
      </c>
      <c r="E361" s="6" t="str">
        <f t="shared" si="14"/>
        <v>女</v>
      </c>
    </row>
    <row r="362" spans="1:5" ht="30" customHeight="1">
      <c r="A362" s="6">
        <v>360</v>
      </c>
      <c r="B362" s="6" t="str">
        <f>"299420210525104419104883"</f>
        <v>299420210525104419104883</v>
      </c>
      <c r="C362" s="6" t="s">
        <v>9</v>
      </c>
      <c r="D362" s="6" t="str">
        <f>"钟丽洁"</f>
        <v>钟丽洁</v>
      </c>
      <c r="E362" s="6" t="str">
        <f t="shared" si="14"/>
        <v>女</v>
      </c>
    </row>
    <row r="363" spans="1:5" ht="30" customHeight="1">
      <c r="A363" s="6">
        <v>361</v>
      </c>
      <c r="B363" s="6" t="str">
        <f>"299420210525105113104923"</f>
        <v>299420210525105113104923</v>
      </c>
      <c r="C363" s="6" t="s">
        <v>9</v>
      </c>
      <c r="D363" s="6" t="str">
        <f>"王妍晶"</f>
        <v>王妍晶</v>
      </c>
      <c r="E363" s="6" t="str">
        <f t="shared" si="14"/>
        <v>女</v>
      </c>
    </row>
    <row r="364" spans="1:5" ht="30" customHeight="1">
      <c r="A364" s="6">
        <v>362</v>
      </c>
      <c r="B364" s="6" t="str">
        <f>"299420210525113140105114"</f>
        <v>299420210525113140105114</v>
      </c>
      <c r="C364" s="6" t="s">
        <v>9</v>
      </c>
      <c r="D364" s="6" t="str">
        <f>"蔡斌"</f>
        <v>蔡斌</v>
      </c>
      <c r="E364" s="6" t="str">
        <f>"男"</f>
        <v>男</v>
      </c>
    </row>
    <row r="365" spans="1:5" ht="30" customHeight="1">
      <c r="A365" s="6">
        <v>363</v>
      </c>
      <c r="B365" s="6" t="str">
        <f>"299420210525113514105122"</f>
        <v>299420210525113514105122</v>
      </c>
      <c r="C365" s="6" t="s">
        <v>9</v>
      </c>
      <c r="D365" s="6" t="str">
        <f>"冯税"</f>
        <v>冯税</v>
      </c>
      <c r="E365" s="6" t="str">
        <f>"女"</f>
        <v>女</v>
      </c>
    </row>
    <row r="366" spans="1:5" ht="30" customHeight="1">
      <c r="A366" s="6">
        <v>364</v>
      </c>
      <c r="B366" s="6" t="str">
        <f>"299420210525114124105149"</f>
        <v>299420210525114124105149</v>
      </c>
      <c r="C366" s="6" t="s">
        <v>9</v>
      </c>
      <c r="D366" s="6" t="str">
        <f>"肖博"</f>
        <v>肖博</v>
      </c>
      <c r="E366" s="6" t="str">
        <f>"男"</f>
        <v>男</v>
      </c>
    </row>
    <row r="367" spans="1:5" ht="30" customHeight="1">
      <c r="A367" s="6">
        <v>365</v>
      </c>
      <c r="B367" s="6" t="str">
        <f>"299420210525115639105214"</f>
        <v>299420210525115639105214</v>
      </c>
      <c r="C367" s="6" t="s">
        <v>9</v>
      </c>
      <c r="D367" s="6" t="str">
        <f>"吉家娟"</f>
        <v>吉家娟</v>
      </c>
      <c r="E367" s="6" t="str">
        <f>"女"</f>
        <v>女</v>
      </c>
    </row>
    <row r="368" spans="1:5" ht="30" customHeight="1">
      <c r="A368" s="6">
        <v>366</v>
      </c>
      <c r="B368" s="6" t="str">
        <f>"299420210525124920105412"</f>
        <v>299420210525124920105412</v>
      </c>
      <c r="C368" s="6" t="s">
        <v>9</v>
      </c>
      <c r="D368" s="6" t="str">
        <f>"黄杏丁"</f>
        <v>黄杏丁</v>
      </c>
      <c r="E368" s="6" t="str">
        <f>"女"</f>
        <v>女</v>
      </c>
    </row>
    <row r="369" spans="1:5" ht="30" customHeight="1">
      <c r="A369" s="6">
        <v>367</v>
      </c>
      <c r="B369" s="6" t="str">
        <f>"299420210525145455105640"</f>
        <v>299420210525145455105640</v>
      </c>
      <c r="C369" s="6" t="s">
        <v>9</v>
      </c>
      <c r="D369" s="6" t="str">
        <f>"刘后鑫"</f>
        <v>刘后鑫</v>
      </c>
      <c r="E369" s="6" t="str">
        <f>"男"</f>
        <v>男</v>
      </c>
    </row>
    <row r="370" spans="1:5" ht="30" customHeight="1">
      <c r="A370" s="6">
        <v>368</v>
      </c>
      <c r="B370" s="6" t="str">
        <f>"299420210525151111105684"</f>
        <v>299420210525151111105684</v>
      </c>
      <c r="C370" s="6" t="s">
        <v>9</v>
      </c>
      <c r="D370" s="6" t="str">
        <f>"王朝孟"</f>
        <v>王朝孟</v>
      </c>
      <c r="E370" s="6" t="str">
        <f>"男"</f>
        <v>男</v>
      </c>
    </row>
    <row r="371" spans="1:5" ht="30" customHeight="1">
      <c r="A371" s="6">
        <v>369</v>
      </c>
      <c r="B371" s="6" t="str">
        <f>"299420210525151844105708"</f>
        <v>299420210525151844105708</v>
      </c>
      <c r="C371" s="6" t="s">
        <v>9</v>
      </c>
      <c r="D371" s="6" t="str">
        <f>"黄金莉"</f>
        <v>黄金莉</v>
      </c>
      <c r="E371" s="6" t="str">
        <f aca="true" t="shared" si="15" ref="E371:E382">"女"</f>
        <v>女</v>
      </c>
    </row>
    <row r="372" spans="1:5" ht="30" customHeight="1">
      <c r="A372" s="6">
        <v>370</v>
      </c>
      <c r="B372" s="6" t="str">
        <f>"299420210525151936105709"</f>
        <v>299420210525151936105709</v>
      </c>
      <c r="C372" s="6" t="s">
        <v>9</v>
      </c>
      <c r="D372" s="6" t="str">
        <f>"陈莹莹"</f>
        <v>陈莹莹</v>
      </c>
      <c r="E372" s="6" t="str">
        <f t="shared" si="15"/>
        <v>女</v>
      </c>
    </row>
    <row r="373" spans="1:5" ht="30" customHeight="1">
      <c r="A373" s="6">
        <v>371</v>
      </c>
      <c r="B373" s="6" t="str">
        <f>"299420210525163312105937"</f>
        <v>299420210525163312105937</v>
      </c>
      <c r="C373" s="6" t="s">
        <v>9</v>
      </c>
      <c r="D373" s="6" t="str">
        <f>"何力凡"</f>
        <v>何力凡</v>
      </c>
      <c r="E373" s="6" t="str">
        <f t="shared" si="15"/>
        <v>女</v>
      </c>
    </row>
    <row r="374" spans="1:5" ht="30" customHeight="1">
      <c r="A374" s="6">
        <v>372</v>
      </c>
      <c r="B374" s="6" t="str">
        <f>"299420210525164204105971"</f>
        <v>299420210525164204105971</v>
      </c>
      <c r="C374" s="6" t="s">
        <v>9</v>
      </c>
      <c r="D374" s="6" t="str">
        <f>"符小兔"</f>
        <v>符小兔</v>
      </c>
      <c r="E374" s="6" t="str">
        <f t="shared" si="15"/>
        <v>女</v>
      </c>
    </row>
    <row r="375" spans="1:5" ht="30" customHeight="1">
      <c r="A375" s="6">
        <v>373</v>
      </c>
      <c r="B375" s="6" t="str">
        <f>"299420210525164407105980"</f>
        <v>299420210525164407105980</v>
      </c>
      <c r="C375" s="6" t="s">
        <v>9</v>
      </c>
      <c r="D375" s="6" t="str">
        <f>"何秋燕"</f>
        <v>何秋燕</v>
      </c>
      <c r="E375" s="6" t="str">
        <f t="shared" si="15"/>
        <v>女</v>
      </c>
    </row>
    <row r="376" spans="1:5" ht="30" customHeight="1">
      <c r="A376" s="6">
        <v>374</v>
      </c>
      <c r="B376" s="6" t="str">
        <f>"299420210525172224106058"</f>
        <v>299420210525172224106058</v>
      </c>
      <c r="C376" s="6" t="s">
        <v>9</v>
      </c>
      <c r="D376" s="6" t="str">
        <f>"陈文雯"</f>
        <v>陈文雯</v>
      </c>
      <c r="E376" s="6" t="str">
        <f t="shared" si="15"/>
        <v>女</v>
      </c>
    </row>
    <row r="377" spans="1:5" ht="30" customHeight="1">
      <c r="A377" s="6">
        <v>375</v>
      </c>
      <c r="B377" s="6" t="str">
        <f>"299420210525174749106119"</f>
        <v>299420210525174749106119</v>
      </c>
      <c r="C377" s="6" t="s">
        <v>9</v>
      </c>
      <c r="D377" s="6" t="str">
        <f>"洪小莉"</f>
        <v>洪小莉</v>
      </c>
      <c r="E377" s="6" t="str">
        <f t="shared" si="15"/>
        <v>女</v>
      </c>
    </row>
    <row r="378" spans="1:5" ht="30" customHeight="1">
      <c r="A378" s="6">
        <v>376</v>
      </c>
      <c r="B378" s="6" t="str">
        <f>"299420210525175821106138"</f>
        <v>299420210525175821106138</v>
      </c>
      <c r="C378" s="6" t="s">
        <v>9</v>
      </c>
      <c r="D378" s="6" t="str">
        <f>"黄彩贞"</f>
        <v>黄彩贞</v>
      </c>
      <c r="E378" s="6" t="str">
        <f t="shared" si="15"/>
        <v>女</v>
      </c>
    </row>
    <row r="379" spans="1:5" ht="30" customHeight="1">
      <c r="A379" s="6">
        <v>377</v>
      </c>
      <c r="B379" s="6" t="str">
        <f>"299420210525183109106215"</f>
        <v>299420210525183109106215</v>
      </c>
      <c r="C379" s="6" t="s">
        <v>9</v>
      </c>
      <c r="D379" s="6" t="str">
        <f>"林玛明"</f>
        <v>林玛明</v>
      </c>
      <c r="E379" s="6" t="str">
        <f t="shared" si="15"/>
        <v>女</v>
      </c>
    </row>
    <row r="380" spans="1:5" ht="30" customHeight="1">
      <c r="A380" s="6">
        <v>378</v>
      </c>
      <c r="B380" s="6" t="str">
        <f>"299420210525193246106349"</f>
        <v>299420210525193246106349</v>
      </c>
      <c r="C380" s="6" t="s">
        <v>9</v>
      </c>
      <c r="D380" s="6" t="str">
        <f>"谢小江"</f>
        <v>谢小江</v>
      </c>
      <c r="E380" s="6" t="str">
        <f t="shared" si="15"/>
        <v>女</v>
      </c>
    </row>
    <row r="381" spans="1:5" ht="30" customHeight="1">
      <c r="A381" s="6">
        <v>379</v>
      </c>
      <c r="B381" s="6" t="str">
        <f>"299420210525194258106375"</f>
        <v>299420210525194258106375</v>
      </c>
      <c r="C381" s="6" t="s">
        <v>9</v>
      </c>
      <c r="D381" s="6" t="str">
        <f>"冯凤兆"</f>
        <v>冯凤兆</v>
      </c>
      <c r="E381" s="6" t="str">
        <f t="shared" si="15"/>
        <v>女</v>
      </c>
    </row>
    <row r="382" spans="1:5" ht="30" customHeight="1">
      <c r="A382" s="6">
        <v>380</v>
      </c>
      <c r="B382" s="6" t="str">
        <f>"299420210525195008106393"</f>
        <v>299420210525195008106393</v>
      </c>
      <c r="C382" s="6" t="s">
        <v>9</v>
      </c>
      <c r="D382" s="6" t="str">
        <f>"符丽颜"</f>
        <v>符丽颜</v>
      </c>
      <c r="E382" s="6" t="str">
        <f t="shared" si="15"/>
        <v>女</v>
      </c>
    </row>
    <row r="383" spans="1:5" ht="30" customHeight="1">
      <c r="A383" s="6">
        <v>381</v>
      </c>
      <c r="B383" s="6" t="str">
        <f>"299420210525195058106395"</f>
        <v>299420210525195058106395</v>
      </c>
      <c r="C383" s="6" t="s">
        <v>9</v>
      </c>
      <c r="D383" s="6" t="str">
        <f>"李俊杰"</f>
        <v>李俊杰</v>
      </c>
      <c r="E383" s="6" t="str">
        <f>"男"</f>
        <v>男</v>
      </c>
    </row>
    <row r="384" spans="1:5" ht="30" customHeight="1">
      <c r="A384" s="6">
        <v>382</v>
      </c>
      <c r="B384" s="6" t="str">
        <f>"299420210525195140106398"</f>
        <v>299420210525195140106398</v>
      </c>
      <c r="C384" s="6" t="s">
        <v>9</v>
      </c>
      <c r="D384" s="6" t="str">
        <f>"盘海兰"</f>
        <v>盘海兰</v>
      </c>
      <c r="E384" s="6" t="str">
        <f aca="true" t="shared" si="16" ref="E384:E406">"女"</f>
        <v>女</v>
      </c>
    </row>
    <row r="385" spans="1:5" ht="30" customHeight="1">
      <c r="A385" s="6">
        <v>383</v>
      </c>
      <c r="B385" s="6" t="str">
        <f>"299420210525202209106469"</f>
        <v>299420210525202209106469</v>
      </c>
      <c r="C385" s="6" t="s">
        <v>9</v>
      </c>
      <c r="D385" s="6" t="str">
        <f>"王咪咪"</f>
        <v>王咪咪</v>
      </c>
      <c r="E385" s="6" t="str">
        <f t="shared" si="16"/>
        <v>女</v>
      </c>
    </row>
    <row r="386" spans="1:5" ht="30" customHeight="1">
      <c r="A386" s="6">
        <v>384</v>
      </c>
      <c r="B386" s="6" t="str">
        <f>"299420210525202305106472"</f>
        <v>299420210525202305106472</v>
      </c>
      <c r="C386" s="6" t="s">
        <v>9</v>
      </c>
      <c r="D386" s="6" t="str">
        <f>"韩小燕"</f>
        <v>韩小燕</v>
      </c>
      <c r="E386" s="6" t="str">
        <f t="shared" si="16"/>
        <v>女</v>
      </c>
    </row>
    <row r="387" spans="1:5" ht="30" customHeight="1">
      <c r="A387" s="6">
        <v>385</v>
      </c>
      <c r="B387" s="6" t="str">
        <f>"299420210525202758106485"</f>
        <v>299420210525202758106485</v>
      </c>
      <c r="C387" s="6" t="s">
        <v>9</v>
      </c>
      <c r="D387" s="6" t="str">
        <f>"谢臻铭"</f>
        <v>谢臻铭</v>
      </c>
      <c r="E387" s="6" t="str">
        <f t="shared" si="16"/>
        <v>女</v>
      </c>
    </row>
    <row r="388" spans="1:5" ht="30" customHeight="1">
      <c r="A388" s="6">
        <v>386</v>
      </c>
      <c r="B388" s="6" t="str">
        <f>"299420210525202834106486"</f>
        <v>299420210525202834106486</v>
      </c>
      <c r="C388" s="6" t="s">
        <v>9</v>
      </c>
      <c r="D388" s="6" t="str">
        <f>"黄倩"</f>
        <v>黄倩</v>
      </c>
      <c r="E388" s="6" t="str">
        <f t="shared" si="16"/>
        <v>女</v>
      </c>
    </row>
    <row r="389" spans="1:5" ht="30" customHeight="1">
      <c r="A389" s="6">
        <v>387</v>
      </c>
      <c r="B389" s="6" t="str">
        <f>"299420210525210638106565"</f>
        <v>299420210525210638106565</v>
      </c>
      <c r="C389" s="6" t="s">
        <v>9</v>
      </c>
      <c r="D389" s="6" t="str">
        <f>"邓雪映"</f>
        <v>邓雪映</v>
      </c>
      <c r="E389" s="6" t="str">
        <f t="shared" si="16"/>
        <v>女</v>
      </c>
    </row>
    <row r="390" spans="1:5" ht="30" customHeight="1">
      <c r="A390" s="6">
        <v>388</v>
      </c>
      <c r="B390" s="6" t="str">
        <f>"299420210525212651106616"</f>
        <v>299420210525212651106616</v>
      </c>
      <c r="C390" s="6" t="s">
        <v>9</v>
      </c>
      <c r="D390" s="6" t="str">
        <f>"程丹"</f>
        <v>程丹</v>
      </c>
      <c r="E390" s="6" t="str">
        <f t="shared" si="16"/>
        <v>女</v>
      </c>
    </row>
    <row r="391" spans="1:5" ht="30" customHeight="1">
      <c r="A391" s="6">
        <v>389</v>
      </c>
      <c r="B391" s="6" t="str">
        <f>"299420210525212825106621"</f>
        <v>299420210525212825106621</v>
      </c>
      <c r="C391" s="6" t="s">
        <v>9</v>
      </c>
      <c r="D391" s="6" t="str">
        <f>"徐应田"</f>
        <v>徐应田</v>
      </c>
      <c r="E391" s="6" t="str">
        <f t="shared" si="16"/>
        <v>女</v>
      </c>
    </row>
    <row r="392" spans="1:5" ht="30" customHeight="1">
      <c r="A392" s="6">
        <v>390</v>
      </c>
      <c r="B392" s="6" t="str">
        <f>"299420210525221522106730"</f>
        <v>299420210525221522106730</v>
      </c>
      <c r="C392" s="6" t="s">
        <v>9</v>
      </c>
      <c r="D392" s="6" t="str">
        <f>"桂秋"</f>
        <v>桂秋</v>
      </c>
      <c r="E392" s="6" t="str">
        <f t="shared" si="16"/>
        <v>女</v>
      </c>
    </row>
    <row r="393" spans="1:5" ht="30" customHeight="1">
      <c r="A393" s="6">
        <v>391</v>
      </c>
      <c r="B393" s="6" t="str">
        <f>"299420210525234734106893"</f>
        <v>299420210525234734106893</v>
      </c>
      <c r="C393" s="6" t="s">
        <v>9</v>
      </c>
      <c r="D393" s="6" t="str">
        <f>"苏丽"</f>
        <v>苏丽</v>
      </c>
      <c r="E393" s="6" t="str">
        <f t="shared" si="16"/>
        <v>女</v>
      </c>
    </row>
    <row r="394" spans="1:5" ht="30" customHeight="1">
      <c r="A394" s="6">
        <v>392</v>
      </c>
      <c r="B394" s="6" t="str">
        <f>"299420210526082946107008"</f>
        <v>299420210526082946107008</v>
      </c>
      <c r="C394" s="6" t="s">
        <v>9</v>
      </c>
      <c r="D394" s="6" t="str">
        <f>"徐加慧"</f>
        <v>徐加慧</v>
      </c>
      <c r="E394" s="6" t="str">
        <f t="shared" si="16"/>
        <v>女</v>
      </c>
    </row>
    <row r="395" spans="1:5" ht="30" customHeight="1">
      <c r="A395" s="6">
        <v>393</v>
      </c>
      <c r="B395" s="6" t="str">
        <f>"299420210526094002107145"</f>
        <v>299420210526094002107145</v>
      </c>
      <c r="C395" s="6" t="s">
        <v>9</v>
      </c>
      <c r="D395" s="6" t="str">
        <f>"陈燕"</f>
        <v>陈燕</v>
      </c>
      <c r="E395" s="6" t="str">
        <f t="shared" si="16"/>
        <v>女</v>
      </c>
    </row>
    <row r="396" spans="1:5" ht="30" customHeight="1">
      <c r="A396" s="6">
        <v>394</v>
      </c>
      <c r="B396" s="6" t="str">
        <f>"299420210526100332107202"</f>
        <v>299420210526100332107202</v>
      </c>
      <c r="C396" s="6" t="s">
        <v>9</v>
      </c>
      <c r="D396" s="6" t="str">
        <f>"周小兰"</f>
        <v>周小兰</v>
      </c>
      <c r="E396" s="6" t="str">
        <f t="shared" si="16"/>
        <v>女</v>
      </c>
    </row>
    <row r="397" spans="1:5" ht="30" customHeight="1">
      <c r="A397" s="6">
        <v>395</v>
      </c>
      <c r="B397" s="6" t="str">
        <f>"299420210526101430107234"</f>
        <v>299420210526101430107234</v>
      </c>
      <c r="C397" s="6" t="s">
        <v>9</v>
      </c>
      <c r="D397" s="6" t="str">
        <f>"杨婷"</f>
        <v>杨婷</v>
      </c>
      <c r="E397" s="6" t="str">
        <f t="shared" si="16"/>
        <v>女</v>
      </c>
    </row>
    <row r="398" spans="1:5" ht="30" customHeight="1">
      <c r="A398" s="6">
        <v>396</v>
      </c>
      <c r="B398" s="6" t="str">
        <f>"299420210526102034107252"</f>
        <v>299420210526102034107252</v>
      </c>
      <c r="C398" s="6" t="s">
        <v>9</v>
      </c>
      <c r="D398" s="6" t="str">
        <f>"符静"</f>
        <v>符静</v>
      </c>
      <c r="E398" s="6" t="str">
        <f t="shared" si="16"/>
        <v>女</v>
      </c>
    </row>
    <row r="399" spans="1:5" ht="30" customHeight="1">
      <c r="A399" s="6">
        <v>397</v>
      </c>
      <c r="B399" s="6" t="str">
        <f>"299420210526103158107284"</f>
        <v>299420210526103158107284</v>
      </c>
      <c r="C399" s="6" t="s">
        <v>9</v>
      </c>
      <c r="D399" s="6" t="str">
        <f>"李雅慧"</f>
        <v>李雅慧</v>
      </c>
      <c r="E399" s="6" t="str">
        <f t="shared" si="16"/>
        <v>女</v>
      </c>
    </row>
    <row r="400" spans="1:5" ht="30" customHeight="1">
      <c r="A400" s="6">
        <v>398</v>
      </c>
      <c r="B400" s="6" t="str">
        <f>"299420210526104856107320"</f>
        <v>299420210526104856107320</v>
      </c>
      <c r="C400" s="6" t="s">
        <v>9</v>
      </c>
      <c r="D400" s="6" t="str">
        <f>"梁竹"</f>
        <v>梁竹</v>
      </c>
      <c r="E400" s="6" t="str">
        <f t="shared" si="16"/>
        <v>女</v>
      </c>
    </row>
    <row r="401" spans="1:5" ht="30" customHeight="1">
      <c r="A401" s="6">
        <v>399</v>
      </c>
      <c r="B401" s="6" t="str">
        <f>"299420210526110333107359"</f>
        <v>299420210526110333107359</v>
      </c>
      <c r="C401" s="6" t="s">
        <v>9</v>
      </c>
      <c r="D401" s="6" t="str">
        <f>"吴婉依"</f>
        <v>吴婉依</v>
      </c>
      <c r="E401" s="6" t="str">
        <f t="shared" si="16"/>
        <v>女</v>
      </c>
    </row>
    <row r="402" spans="1:5" ht="30" customHeight="1">
      <c r="A402" s="6">
        <v>400</v>
      </c>
      <c r="B402" s="6" t="str">
        <f>"299420210526111826107393"</f>
        <v>299420210526111826107393</v>
      </c>
      <c r="C402" s="6" t="s">
        <v>9</v>
      </c>
      <c r="D402" s="6" t="str">
        <f>"陈倩"</f>
        <v>陈倩</v>
      </c>
      <c r="E402" s="6" t="str">
        <f t="shared" si="16"/>
        <v>女</v>
      </c>
    </row>
    <row r="403" spans="1:5" ht="30" customHeight="1">
      <c r="A403" s="6">
        <v>401</v>
      </c>
      <c r="B403" s="6" t="str">
        <f>"299420210526112307107404"</f>
        <v>299420210526112307107404</v>
      </c>
      <c r="C403" s="6" t="s">
        <v>9</v>
      </c>
      <c r="D403" s="6" t="str">
        <f>"符芳源"</f>
        <v>符芳源</v>
      </c>
      <c r="E403" s="6" t="str">
        <f t="shared" si="16"/>
        <v>女</v>
      </c>
    </row>
    <row r="404" spans="1:5" ht="30" customHeight="1">
      <c r="A404" s="6">
        <v>402</v>
      </c>
      <c r="B404" s="6" t="str">
        <f>"299420210526121204107490"</f>
        <v>299420210526121204107490</v>
      </c>
      <c r="C404" s="6" t="s">
        <v>9</v>
      </c>
      <c r="D404" s="6" t="str">
        <f>"吴小燕"</f>
        <v>吴小燕</v>
      </c>
      <c r="E404" s="6" t="str">
        <f t="shared" si="16"/>
        <v>女</v>
      </c>
    </row>
    <row r="405" spans="1:5" ht="30" customHeight="1">
      <c r="A405" s="6">
        <v>403</v>
      </c>
      <c r="B405" s="6" t="str">
        <f>"299420210526124642107568"</f>
        <v>299420210526124642107568</v>
      </c>
      <c r="C405" s="6" t="s">
        <v>9</v>
      </c>
      <c r="D405" s="6" t="str">
        <f>"李助桂"</f>
        <v>李助桂</v>
      </c>
      <c r="E405" s="6" t="str">
        <f t="shared" si="16"/>
        <v>女</v>
      </c>
    </row>
    <row r="406" spans="1:5" ht="30" customHeight="1">
      <c r="A406" s="6">
        <v>404</v>
      </c>
      <c r="B406" s="6" t="str">
        <f>"299420210526131523107632"</f>
        <v>299420210526131523107632</v>
      </c>
      <c r="C406" s="6" t="s">
        <v>9</v>
      </c>
      <c r="D406" s="6" t="str">
        <f>"陈丹燕"</f>
        <v>陈丹燕</v>
      </c>
      <c r="E406" s="6" t="str">
        <f t="shared" si="16"/>
        <v>女</v>
      </c>
    </row>
    <row r="407" spans="1:5" ht="30" customHeight="1">
      <c r="A407" s="6">
        <v>405</v>
      </c>
      <c r="B407" s="6" t="str">
        <f>"299420210526145810107726"</f>
        <v>299420210526145810107726</v>
      </c>
      <c r="C407" s="6" t="s">
        <v>9</v>
      </c>
      <c r="D407" s="6" t="str">
        <f>"蒙志成"</f>
        <v>蒙志成</v>
      </c>
      <c r="E407" s="6" t="str">
        <f>"男"</f>
        <v>男</v>
      </c>
    </row>
    <row r="408" spans="1:5" ht="30" customHeight="1">
      <c r="A408" s="6">
        <v>406</v>
      </c>
      <c r="B408" s="6" t="str">
        <f>"299420210526150113107732"</f>
        <v>299420210526150113107732</v>
      </c>
      <c r="C408" s="6" t="s">
        <v>9</v>
      </c>
      <c r="D408" s="6" t="str">
        <f>"李娜"</f>
        <v>李娜</v>
      </c>
      <c r="E408" s="6" t="str">
        <f aca="true" t="shared" si="17" ref="E408:E423">"女"</f>
        <v>女</v>
      </c>
    </row>
    <row r="409" spans="1:5" ht="30" customHeight="1">
      <c r="A409" s="6">
        <v>407</v>
      </c>
      <c r="B409" s="6" t="str">
        <f>"299420210526150304107733"</f>
        <v>299420210526150304107733</v>
      </c>
      <c r="C409" s="6" t="s">
        <v>9</v>
      </c>
      <c r="D409" s="6" t="str">
        <f>"周碟"</f>
        <v>周碟</v>
      </c>
      <c r="E409" s="6" t="str">
        <f t="shared" si="17"/>
        <v>女</v>
      </c>
    </row>
    <row r="410" spans="1:5" ht="30" customHeight="1">
      <c r="A410" s="6">
        <v>408</v>
      </c>
      <c r="B410" s="6" t="str">
        <f>"299420210526151345107760"</f>
        <v>299420210526151345107760</v>
      </c>
      <c r="C410" s="6" t="s">
        <v>9</v>
      </c>
      <c r="D410" s="6" t="str">
        <f>"冯海平"</f>
        <v>冯海平</v>
      </c>
      <c r="E410" s="6" t="str">
        <f t="shared" si="17"/>
        <v>女</v>
      </c>
    </row>
    <row r="411" spans="1:5" ht="30" customHeight="1">
      <c r="A411" s="6">
        <v>409</v>
      </c>
      <c r="B411" s="6" t="str">
        <f>"299420210526155458107840"</f>
        <v>299420210526155458107840</v>
      </c>
      <c r="C411" s="6" t="s">
        <v>9</v>
      </c>
      <c r="D411" s="6" t="str">
        <f>"李华姑"</f>
        <v>李华姑</v>
      </c>
      <c r="E411" s="6" t="str">
        <f t="shared" si="17"/>
        <v>女</v>
      </c>
    </row>
    <row r="412" spans="1:5" ht="30" customHeight="1">
      <c r="A412" s="6">
        <v>410</v>
      </c>
      <c r="B412" s="6" t="str">
        <f>"299420210526155902107852"</f>
        <v>299420210526155902107852</v>
      </c>
      <c r="C412" s="6" t="s">
        <v>9</v>
      </c>
      <c r="D412" s="6" t="str">
        <f>"林丽"</f>
        <v>林丽</v>
      </c>
      <c r="E412" s="6" t="str">
        <f t="shared" si="17"/>
        <v>女</v>
      </c>
    </row>
    <row r="413" spans="1:5" ht="30" customHeight="1">
      <c r="A413" s="6">
        <v>411</v>
      </c>
      <c r="B413" s="6" t="str">
        <f>"299420210526162652107913"</f>
        <v>299420210526162652107913</v>
      </c>
      <c r="C413" s="6" t="s">
        <v>9</v>
      </c>
      <c r="D413" s="6" t="str">
        <f>"周梅英"</f>
        <v>周梅英</v>
      </c>
      <c r="E413" s="6" t="str">
        <f t="shared" si="17"/>
        <v>女</v>
      </c>
    </row>
    <row r="414" spans="1:5" ht="30" customHeight="1">
      <c r="A414" s="6">
        <v>412</v>
      </c>
      <c r="B414" s="6" t="str">
        <f>"299420210526165856107975"</f>
        <v>299420210526165856107975</v>
      </c>
      <c r="C414" s="6" t="s">
        <v>9</v>
      </c>
      <c r="D414" s="6" t="str">
        <f>"符蕊"</f>
        <v>符蕊</v>
      </c>
      <c r="E414" s="6" t="str">
        <f t="shared" si="17"/>
        <v>女</v>
      </c>
    </row>
    <row r="415" spans="1:5" ht="30" customHeight="1">
      <c r="A415" s="6">
        <v>413</v>
      </c>
      <c r="B415" s="6" t="str">
        <f>"299420210526190328108186"</f>
        <v>299420210526190328108186</v>
      </c>
      <c r="C415" s="6" t="s">
        <v>9</v>
      </c>
      <c r="D415" s="6" t="str">
        <f>"黄丹艳"</f>
        <v>黄丹艳</v>
      </c>
      <c r="E415" s="6" t="str">
        <f t="shared" si="17"/>
        <v>女</v>
      </c>
    </row>
    <row r="416" spans="1:5" ht="30" customHeight="1">
      <c r="A416" s="6">
        <v>414</v>
      </c>
      <c r="B416" s="6" t="str">
        <f>"299420210526202002108320"</f>
        <v>299420210526202002108320</v>
      </c>
      <c r="C416" s="6" t="s">
        <v>9</v>
      </c>
      <c r="D416" s="6" t="str">
        <f>"董翠浪"</f>
        <v>董翠浪</v>
      </c>
      <c r="E416" s="6" t="str">
        <f t="shared" si="17"/>
        <v>女</v>
      </c>
    </row>
    <row r="417" spans="1:5" ht="30" customHeight="1">
      <c r="A417" s="6">
        <v>415</v>
      </c>
      <c r="B417" s="6" t="str">
        <f>"299420210526204337108364"</f>
        <v>299420210526204337108364</v>
      </c>
      <c r="C417" s="6" t="s">
        <v>9</v>
      </c>
      <c r="D417" s="6" t="str">
        <f>"罗莘"</f>
        <v>罗莘</v>
      </c>
      <c r="E417" s="6" t="str">
        <f t="shared" si="17"/>
        <v>女</v>
      </c>
    </row>
    <row r="418" spans="1:5" ht="30" customHeight="1">
      <c r="A418" s="6">
        <v>416</v>
      </c>
      <c r="B418" s="6" t="str">
        <f>"299420210526205642108385"</f>
        <v>299420210526205642108385</v>
      </c>
      <c r="C418" s="6" t="s">
        <v>9</v>
      </c>
      <c r="D418" s="6" t="str">
        <f>"刘莉莉"</f>
        <v>刘莉莉</v>
      </c>
      <c r="E418" s="6" t="str">
        <f t="shared" si="17"/>
        <v>女</v>
      </c>
    </row>
    <row r="419" spans="1:5" ht="30" customHeight="1">
      <c r="A419" s="6">
        <v>417</v>
      </c>
      <c r="B419" s="6" t="str">
        <f>"299420210526215154108510"</f>
        <v>299420210526215154108510</v>
      </c>
      <c r="C419" s="6" t="s">
        <v>9</v>
      </c>
      <c r="D419" s="6" t="str">
        <f>"王裕銮"</f>
        <v>王裕銮</v>
      </c>
      <c r="E419" s="6" t="str">
        <f t="shared" si="17"/>
        <v>女</v>
      </c>
    </row>
    <row r="420" spans="1:5" ht="30" customHeight="1">
      <c r="A420" s="6">
        <v>418</v>
      </c>
      <c r="B420" s="6" t="str">
        <f>"299420210526220502108545"</f>
        <v>299420210526220502108545</v>
      </c>
      <c r="C420" s="6" t="s">
        <v>9</v>
      </c>
      <c r="D420" s="6" t="str">
        <f>"项楠"</f>
        <v>项楠</v>
      </c>
      <c r="E420" s="6" t="str">
        <f t="shared" si="17"/>
        <v>女</v>
      </c>
    </row>
    <row r="421" spans="1:5" ht="30" customHeight="1">
      <c r="A421" s="6">
        <v>419</v>
      </c>
      <c r="B421" s="6" t="str">
        <f>"299420210526221838108582"</f>
        <v>299420210526221838108582</v>
      </c>
      <c r="C421" s="6" t="s">
        <v>9</v>
      </c>
      <c r="D421" s="6" t="str">
        <f>"黄玉"</f>
        <v>黄玉</v>
      </c>
      <c r="E421" s="6" t="str">
        <f t="shared" si="17"/>
        <v>女</v>
      </c>
    </row>
    <row r="422" spans="1:5" ht="30" customHeight="1">
      <c r="A422" s="6">
        <v>420</v>
      </c>
      <c r="B422" s="6" t="str">
        <f>"299420210526223827108624"</f>
        <v>299420210526223827108624</v>
      </c>
      <c r="C422" s="6" t="s">
        <v>9</v>
      </c>
      <c r="D422" s="6" t="str">
        <f>"邢梢琼"</f>
        <v>邢梢琼</v>
      </c>
      <c r="E422" s="6" t="str">
        <f t="shared" si="17"/>
        <v>女</v>
      </c>
    </row>
    <row r="423" spans="1:5" ht="30" customHeight="1">
      <c r="A423" s="6">
        <v>421</v>
      </c>
      <c r="B423" s="6" t="str">
        <f>"299420210526223946108626"</f>
        <v>299420210526223946108626</v>
      </c>
      <c r="C423" s="6" t="s">
        <v>9</v>
      </c>
      <c r="D423" s="6" t="str">
        <f>"吴丽萍"</f>
        <v>吴丽萍</v>
      </c>
      <c r="E423" s="6" t="str">
        <f t="shared" si="17"/>
        <v>女</v>
      </c>
    </row>
    <row r="424" spans="1:5" ht="30" customHeight="1">
      <c r="A424" s="6">
        <v>422</v>
      </c>
      <c r="B424" s="6" t="str">
        <f>"299420210526224817108641"</f>
        <v>299420210526224817108641</v>
      </c>
      <c r="C424" s="6" t="s">
        <v>9</v>
      </c>
      <c r="D424" s="6" t="str">
        <f>"谢慧超"</f>
        <v>谢慧超</v>
      </c>
      <c r="E424" s="6" t="str">
        <f>"男"</f>
        <v>男</v>
      </c>
    </row>
    <row r="425" spans="1:5" ht="30" customHeight="1">
      <c r="A425" s="6">
        <v>423</v>
      </c>
      <c r="B425" s="6" t="str">
        <f>"299420210526224928108644"</f>
        <v>299420210526224928108644</v>
      </c>
      <c r="C425" s="6" t="s">
        <v>9</v>
      </c>
      <c r="D425" s="6" t="str">
        <f>"唐琳玲"</f>
        <v>唐琳玲</v>
      </c>
      <c r="E425" s="6" t="str">
        <f aca="true" t="shared" si="18" ref="E425:E488">"女"</f>
        <v>女</v>
      </c>
    </row>
    <row r="426" spans="1:5" ht="30" customHeight="1">
      <c r="A426" s="6">
        <v>424</v>
      </c>
      <c r="B426" s="6" t="str">
        <f>"299420210526230938108673"</f>
        <v>299420210526230938108673</v>
      </c>
      <c r="C426" s="6" t="s">
        <v>9</v>
      </c>
      <c r="D426" s="6" t="str">
        <f>"黎俊贞"</f>
        <v>黎俊贞</v>
      </c>
      <c r="E426" s="6" t="str">
        <f t="shared" si="18"/>
        <v>女</v>
      </c>
    </row>
    <row r="427" spans="1:5" ht="30" customHeight="1">
      <c r="A427" s="6">
        <v>425</v>
      </c>
      <c r="B427" s="6" t="str">
        <f>"299420210526234436108716"</f>
        <v>299420210526234436108716</v>
      </c>
      <c r="C427" s="6" t="s">
        <v>9</v>
      </c>
      <c r="D427" s="6" t="str">
        <f>"吴海花"</f>
        <v>吴海花</v>
      </c>
      <c r="E427" s="6" t="str">
        <f t="shared" si="18"/>
        <v>女</v>
      </c>
    </row>
    <row r="428" spans="1:5" ht="30" customHeight="1">
      <c r="A428" s="6">
        <v>426</v>
      </c>
      <c r="B428" s="6" t="str">
        <f>"299420210527085355108875"</f>
        <v>299420210527085355108875</v>
      </c>
      <c r="C428" s="6" t="s">
        <v>9</v>
      </c>
      <c r="D428" s="6" t="str">
        <f>"林志芬"</f>
        <v>林志芬</v>
      </c>
      <c r="E428" s="6" t="str">
        <f t="shared" si="18"/>
        <v>女</v>
      </c>
    </row>
    <row r="429" spans="1:5" ht="30" customHeight="1">
      <c r="A429" s="6">
        <v>427</v>
      </c>
      <c r="B429" s="6" t="str">
        <f>"299420210527090103108889"</f>
        <v>299420210527090103108889</v>
      </c>
      <c r="C429" s="6" t="s">
        <v>9</v>
      </c>
      <c r="D429" s="6" t="str">
        <f>"曲佳佳"</f>
        <v>曲佳佳</v>
      </c>
      <c r="E429" s="6" t="str">
        <f t="shared" si="18"/>
        <v>女</v>
      </c>
    </row>
    <row r="430" spans="1:5" ht="30" customHeight="1">
      <c r="A430" s="6">
        <v>428</v>
      </c>
      <c r="B430" s="6" t="str">
        <f>"299420210527092343108919"</f>
        <v>299420210527092343108919</v>
      </c>
      <c r="C430" s="6" t="s">
        <v>9</v>
      </c>
      <c r="D430" s="6" t="str">
        <f>"何资颖"</f>
        <v>何资颖</v>
      </c>
      <c r="E430" s="6" t="str">
        <f t="shared" si="18"/>
        <v>女</v>
      </c>
    </row>
    <row r="431" spans="1:5" ht="30" customHeight="1">
      <c r="A431" s="6">
        <v>429</v>
      </c>
      <c r="B431" s="6" t="str">
        <f>"299420210527092825108925"</f>
        <v>299420210527092825108925</v>
      </c>
      <c r="C431" s="6" t="s">
        <v>9</v>
      </c>
      <c r="D431" s="6" t="str">
        <f>"邝少云"</f>
        <v>邝少云</v>
      </c>
      <c r="E431" s="6" t="str">
        <f t="shared" si="18"/>
        <v>女</v>
      </c>
    </row>
    <row r="432" spans="1:5" ht="30" customHeight="1">
      <c r="A432" s="6">
        <v>430</v>
      </c>
      <c r="B432" s="6" t="str">
        <f>"299420210527093338108940"</f>
        <v>299420210527093338108940</v>
      </c>
      <c r="C432" s="6" t="s">
        <v>9</v>
      </c>
      <c r="D432" s="6" t="str">
        <f>"胡宗英"</f>
        <v>胡宗英</v>
      </c>
      <c r="E432" s="6" t="str">
        <f t="shared" si="18"/>
        <v>女</v>
      </c>
    </row>
    <row r="433" spans="1:5" ht="30" customHeight="1">
      <c r="A433" s="6">
        <v>431</v>
      </c>
      <c r="B433" s="6" t="str">
        <f>"299420210527093554108943"</f>
        <v>299420210527093554108943</v>
      </c>
      <c r="C433" s="6" t="s">
        <v>9</v>
      </c>
      <c r="D433" s="6" t="str">
        <f>"王东露"</f>
        <v>王东露</v>
      </c>
      <c r="E433" s="6" t="str">
        <f t="shared" si="18"/>
        <v>女</v>
      </c>
    </row>
    <row r="434" spans="1:5" ht="30" customHeight="1">
      <c r="A434" s="6">
        <v>432</v>
      </c>
      <c r="B434" s="6" t="str">
        <f>"299420210527103204109056"</f>
        <v>299420210527103204109056</v>
      </c>
      <c r="C434" s="6" t="s">
        <v>9</v>
      </c>
      <c r="D434" s="6" t="str">
        <f>"陈依宁"</f>
        <v>陈依宁</v>
      </c>
      <c r="E434" s="6" t="str">
        <f t="shared" si="18"/>
        <v>女</v>
      </c>
    </row>
    <row r="435" spans="1:5" ht="30" customHeight="1">
      <c r="A435" s="6">
        <v>433</v>
      </c>
      <c r="B435" s="6" t="str">
        <f>"299420210527105002109089"</f>
        <v>299420210527105002109089</v>
      </c>
      <c r="C435" s="6" t="s">
        <v>9</v>
      </c>
      <c r="D435" s="6" t="str">
        <f>"张华"</f>
        <v>张华</v>
      </c>
      <c r="E435" s="6" t="str">
        <f t="shared" si="18"/>
        <v>女</v>
      </c>
    </row>
    <row r="436" spans="1:5" ht="30" customHeight="1">
      <c r="A436" s="6">
        <v>434</v>
      </c>
      <c r="B436" s="6" t="str">
        <f>"299420210527110703109125"</f>
        <v>299420210527110703109125</v>
      </c>
      <c r="C436" s="6" t="s">
        <v>9</v>
      </c>
      <c r="D436" s="6" t="str">
        <f>"潘雯"</f>
        <v>潘雯</v>
      </c>
      <c r="E436" s="6" t="str">
        <f t="shared" si="18"/>
        <v>女</v>
      </c>
    </row>
    <row r="437" spans="1:5" ht="30" customHeight="1">
      <c r="A437" s="6">
        <v>435</v>
      </c>
      <c r="B437" s="6" t="str">
        <f>"299420210527111455109136"</f>
        <v>299420210527111455109136</v>
      </c>
      <c r="C437" s="6" t="s">
        <v>9</v>
      </c>
      <c r="D437" s="6" t="str">
        <f>"李娜"</f>
        <v>李娜</v>
      </c>
      <c r="E437" s="6" t="str">
        <f t="shared" si="18"/>
        <v>女</v>
      </c>
    </row>
    <row r="438" spans="1:5" ht="30" customHeight="1">
      <c r="A438" s="6">
        <v>436</v>
      </c>
      <c r="B438" s="6" t="str">
        <f>"299420210527114444109181"</f>
        <v>299420210527114444109181</v>
      </c>
      <c r="C438" s="6" t="s">
        <v>9</v>
      </c>
      <c r="D438" s="6" t="str">
        <f>"谢小芸"</f>
        <v>谢小芸</v>
      </c>
      <c r="E438" s="6" t="str">
        <f t="shared" si="18"/>
        <v>女</v>
      </c>
    </row>
    <row r="439" spans="1:5" ht="30" customHeight="1">
      <c r="A439" s="6">
        <v>437</v>
      </c>
      <c r="B439" s="6" t="str">
        <f>"299420210527125343109268"</f>
        <v>299420210527125343109268</v>
      </c>
      <c r="C439" s="6" t="s">
        <v>9</v>
      </c>
      <c r="D439" s="6" t="str">
        <f>"邵小萍"</f>
        <v>邵小萍</v>
      </c>
      <c r="E439" s="6" t="str">
        <f t="shared" si="18"/>
        <v>女</v>
      </c>
    </row>
    <row r="440" spans="1:5" ht="30" customHeight="1">
      <c r="A440" s="6">
        <v>438</v>
      </c>
      <c r="B440" s="6" t="str">
        <f>"299420210527140303109339"</f>
        <v>299420210527140303109339</v>
      </c>
      <c r="C440" s="6" t="s">
        <v>9</v>
      </c>
      <c r="D440" s="6" t="str">
        <f>"叶虹"</f>
        <v>叶虹</v>
      </c>
      <c r="E440" s="6" t="str">
        <f t="shared" si="18"/>
        <v>女</v>
      </c>
    </row>
    <row r="441" spans="1:5" ht="30" customHeight="1">
      <c r="A441" s="6">
        <v>439</v>
      </c>
      <c r="B441" s="6" t="str">
        <f>"299420210527141538109354"</f>
        <v>299420210527141538109354</v>
      </c>
      <c r="C441" s="6" t="s">
        <v>9</v>
      </c>
      <c r="D441" s="6" t="str">
        <f>"段晓伟"</f>
        <v>段晓伟</v>
      </c>
      <c r="E441" s="6" t="str">
        <f t="shared" si="18"/>
        <v>女</v>
      </c>
    </row>
    <row r="442" spans="1:5" ht="30" customHeight="1">
      <c r="A442" s="6">
        <v>440</v>
      </c>
      <c r="B442" s="6" t="str">
        <f>"299420210527150632109413"</f>
        <v>299420210527150632109413</v>
      </c>
      <c r="C442" s="6" t="s">
        <v>9</v>
      </c>
      <c r="D442" s="6" t="str">
        <f>"陈小桥"</f>
        <v>陈小桥</v>
      </c>
      <c r="E442" s="6" t="str">
        <f t="shared" si="18"/>
        <v>女</v>
      </c>
    </row>
    <row r="443" spans="1:5" ht="30" customHeight="1">
      <c r="A443" s="6">
        <v>441</v>
      </c>
      <c r="B443" s="6" t="str">
        <f>"299420210527152341109440"</f>
        <v>299420210527152341109440</v>
      </c>
      <c r="C443" s="6" t="s">
        <v>9</v>
      </c>
      <c r="D443" s="6" t="str">
        <f>"吉才红"</f>
        <v>吉才红</v>
      </c>
      <c r="E443" s="6" t="str">
        <f t="shared" si="18"/>
        <v>女</v>
      </c>
    </row>
    <row r="444" spans="1:5" ht="30" customHeight="1">
      <c r="A444" s="6">
        <v>442</v>
      </c>
      <c r="B444" s="6" t="str">
        <f>"299420210527153512109463"</f>
        <v>299420210527153512109463</v>
      </c>
      <c r="C444" s="6" t="s">
        <v>9</v>
      </c>
      <c r="D444" s="6" t="str">
        <f>"陈婷"</f>
        <v>陈婷</v>
      </c>
      <c r="E444" s="6" t="str">
        <f t="shared" si="18"/>
        <v>女</v>
      </c>
    </row>
    <row r="445" spans="1:5" ht="30" customHeight="1">
      <c r="A445" s="6">
        <v>443</v>
      </c>
      <c r="B445" s="6" t="str">
        <f>"299420210527160609109526"</f>
        <v>299420210527160609109526</v>
      </c>
      <c r="C445" s="6" t="s">
        <v>9</v>
      </c>
      <c r="D445" s="6" t="str">
        <f>"徐玲"</f>
        <v>徐玲</v>
      </c>
      <c r="E445" s="6" t="str">
        <f t="shared" si="18"/>
        <v>女</v>
      </c>
    </row>
    <row r="446" spans="1:5" ht="30" customHeight="1">
      <c r="A446" s="6">
        <v>444</v>
      </c>
      <c r="B446" s="6" t="str">
        <f>"299420210527170117109642"</f>
        <v>299420210527170117109642</v>
      </c>
      <c r="C446" s="6" t="s">
        <v>9</v>
      </c>
      <c r="D446" s="6" t="str">
        <f>"何惠芬"</f>
        <v>何惠芬</v>
      </c>
      <c r="E446" s="6" t="str">
        <f t="shared" si="18"/>
        <v>女</v>
      </c>
    </row>
    <row r="447" spans="1:5" ht="30" customHeight="1">
      <c r="A447" s="6">
        <v>445</v>
      </c>
      <c r="B447" s="6" t="str">
        <f>"299420210527204154109907"</f>
        <v>299420210527204154109907</v>
      </c>
      <c r="C447" s="6" t="s">
        <v>9</v>
      </c>
      <c r="D447" s="6" t="str">
        <f>"符淑乾"</f>
        <v>符淑乾</v>
      </c>
      <c r="E447" s="6" t="str">
        <f t="shared" si="18"/>
        <v>女</v>
      </c>
    </row>
    <row r="448" spans="1:5" ht="30" customHeight="1">
      <c r="A448" s="6">
        <v>446</v>
      </c>
      <c r="B448" s="6" t="str">
        <f>"299420210527224156110069"</f>
        <v>299420210527224156110069</v>
      </c>
      <c r="C448" s="6" t="s">
        <v>9</v>
      </c>
      <c r="D448" s="6" t="str">
        <f>"陈常娟"</f>
        <v>陈常娟</v>
      </c>
      <c r="E448" s="6" t="str">
        <f t="shared" si="18"/>
        <v>女</v>
      </c>
    </row>
    <row r="449" spans="1:5" ht="30" customHeight="1">
      <c r="A449" s="6">
        <v>447</v>
      </c>
      <c r="B449" s="6" t="str">
        <f>"299420210528082136110209"</f>
        <v>299420210528082136110209</v>
      </c>
      <c r="C449" s="6" t="s">
        <v>9</v>
      </c>
      <c r="D449" s="6" t="str">
        <f>"蒙诗琪"</f>
        <v>蒙诗琪</v>
      </c>
      <c r="E449" s="6" t="str">
        <f t="shared" si="18"/>
        <v>女</v>
      </c>
    </row>
    <row r="450" spans="1:5" ht="30" customHeight="1">
      <c r="A450" s="6">
        <v>448</v>
      </c>
      <c r="B450" s="6" t="str">
        <f>"299420210528083441110219"</f>
        <v>299420210528083441110219</v>
      </c>
      <c r="C450" s="6" t="s">
        <v>9</v>
      </c>
      <c r="D450" s="6" t="str">
        <f>"钟英"</f>
        <v>钟英</v>
      </c>
      <c r="E450" s="6" t="str">
        <f t="shared" si="18"/>
        <v>女</v>
      </c>
    </row>
    <row r="451" spans="1:5" ht="30" customHeight="1">
      <c r="A451" s="6">
        <v>449</v>
      </c>
      <c r="B451" s="6" t="str">
        <f>"299420210528090959110266"</f>
        <v>299420210528090959110266</v>
      </c>
      <c r="C451" s="6" t="s">
        <v>9</v>
      </c>
      <c r="D451" s="6" t="str">
        <f>"林精香"</f>
        <v>林精香</v>
      </c>
      <c r="E451" s="6" t="str">
        <f t="shared" si="18"/>
        <v>女</v>
      </c>
    </row>
    <row r="452" spans="1:5" ht="30" customHeight="1">
      <c r="A452" s="6">
        <v>450</v>
      </c>
      <c r="B452" s="6" t="str">
        <f>"299420210528094818110341"</f>
        <v>299420210528094818110341</v>
      </c>
      <c r="C452" s="6" t="s">
        <v>9</v>
      </c>
      <c r="D452" s="6" t="str">
        <f>"谢丽佳"</f>
        <v>谢丽佳</v>
      </c>
      <c r="E452" s="6" t="str">
        <f t="shared" si="18"/>
        <v>女</v>
      </c>
    </row>
    <row r="453" spans="1:5" ht="30" customHeight="1">
      <c r="A453" s="6">
        <v>451</v>
      </c>
      <c r="B453" s="6" t="str">
        <f>"299420210528100119110368"</f>
        <v>299420210528100119110368</v>
      </c>
      <c r="C453" s="6" t="s">
        <v>9</v>
      </c>
      <c r="D453" s="6" t="str">
        <f>"文日婷"</f>
        <v>文日婷</v>
      </c>
      <c r="E453" s="6" t="str">
        <f t="shared" si="18"/>
        <v>女</v>
      </c>
    </row>
    <row r="454" spans="1:5" ht="30" customHeight="1">
      <c r="A454" s="6">
        <v>452</v>
      </c>
      <c r="B454" s="6" t="str">
        <f>"299420210528101759110391"</f>
        <v>299420210528101759110391</v>
      </c>
      <c r="C454" s="6" t="s">
        <v>9</v>
      </c>
      <c r="D454" s="6" t="str">
        <f>"蔡志华"</f>
        <v>蔡志华</v>
      </c>
      <c r="E454" s="6" t="str">
        <f t="shared" si="18"/>
        <v>女</v>
      </c>
    </row>
    <row r="455" spans="1:5" ht="30" customHeight="1">
      <c r="A455" s="6">
        <v>453</v>
      </c>
      <c r="B455" s="6" t="str">
        <f>"299420210528102223110404"</f>
        <v>299420210528102223110404</v>
      </c>
      <c r="C455" s="6" t="s">
        <v>9</v>
      </c>
      <c r="D455" s="6" t="str">
        <f>"莫启燕"</f>
        <v>莫启燕</v>
      </c>
      <c r="E455" s="6" t="str">
        <f t="shared" si="18"/>
        <v>女</v>
      </c>
    </row>
    <row r="456" spans="1:5" ht="30" customHeight="1">
      <c r="A456" s="6">
        <v>454</v>
      </c>
      <c r="B456" s="6" t="str">
        <f>"299420210528105439110470"</f>
        <v>299420210528105439110470</v>
      </c>
      <c r="C456" s="6" t="s">
        <v>9</v>
      </c>
      <c r="D456" s="6" t="str">
        <f>"刘桂珍"</f>
        <v>刘桂珍</v>
      </c>
      <c r="E456" s="6" t="str">
        <f t="shared" si="18"/>
        <v>女</v>
      </c>
    </row>
    <row r="457" spans="1:5" ht="30" customHeight="1">
      <c r="A457" s="6">
        <v>455</v>
      </c>
      <c r="B457" s="6" t="str">
        <f>"299420210528111555110509"</f>
        <v>299420210528111555110509</v>
      </c>
      <c r="C457" s="6" t="s">
        <v>9</v>
      </c>
      <c r="D457" s="6" t="str">
        <f>"曾惠帆"</f>
        <v>曾惠帆</v>
      </c>
      <c r="E457" s="6" t="str">
        <f t="shared" si="18"/>
        <v>女</v>
      </c>
    </row>
    <row r="458" spans="1:5" ht="30" customHeight="1">
      <c r="A458" s="6">
        <v>456</v>
      </c>
      <c r="B458" s="6" t="str">
        <f>"299420210528113037110526"</f>
        <v>299420210528113037110526</v>
      </c>
      <c r="C458" s="6" t="s">
        <v>9</v>
      </c>
      <c r="D458" s="6" t="str">
        <f>"谢少英"</f>
        <v>谢少英</v>
      </c>
      <c r="E458" s="6" t="str">
        <f t="shared" si="18"/>
        <v>女</v>
      </c>
    </row>
    <row r="459" spans="1:5" ht="30" customHeight="1">
      <c r="A459" s="6">
        <v>457</v>
      </c>
      <c r="B459" s="6" t="str">
        <f>"299420210528131152110672"</f>
        <v>299420210528131152110672</v>
      </c>
      <c r="C459" s="6" t="s">
        <v>9</v>
      </c>
      <c r="D459" s="6" t="str">
        <f>"严曼莎"</f>
        <v>严曼莎</v>
      </c>
      <c r="E459" s="6" t="str">
        <f t="shared" si="18"/>
        <v>女</v>
      </c>
    </row>
    <row r="460" spans="1:5" ht="30" customHeight="1">
      <c r="A460" s="6">
        <v>458</v>
      </c>
      <c r="B460" s="6" t="str">
        <f>"299420210528152013110844"</f>
        <v>299420210528152013110844</v>
      </c>
      <c r="C460" s="6" t="s">
        <v>9</v>
      </c>
      <c r="D460" s="6" t="str">
        <f>"倪德霞"</f>
        <v>倪德霞</v>
      </c>
      <c r="E460" s="6" t="str">
        <f t="shared" si="18"/>
        <v>女</v>
      </c>
    </row>
    <row r="461" spans="1:5" ht="30" customHeight="1">
      <c r="A461" s="6">
        <v>459</v>
      </c>
      <c r="B461" s="6" t="str">
        <f>"299420210528160044110903"</f>
        <v>299420210528160044110903</v>
      </c>
      <c r="C461" s="6" t="s">
        <v>9</v>
      </c>
      <c r="D461" s="6" t="str">
        <f>"罗俊燕"</f>
        <v>罗俊燕</v>
      </c>
      <c r="E461" s="6" t="str">
        <f t="shared" si="18"/>
        <v>女</v>
      </c>
    </row>
    <row r="462" spans="1:5" ht="30" customHeight="1">
      <c r="A462" s="6">
        <v>460</v>
      </c>
      <c r="B462" s="6" t="str">
        <f>"299420210528161902110927"</f>
        <v>299420210528161902110927</v>
      </c>
      <c r="C462" s="6" t="s">
        <v>9</v>
      </c>
      <c r="D462" s="6" t="str">
        <f>"麦春晓"</f>
        <v>麦春晓</v>
      </c>
      <c r="E462" s="6" t="str">
        <f t="shared" si="18"/>
        <v>女</v>
      </c>
    </row>
    <row r="463" spans="1:5" ht="30" customHeight="1">
      <c r="A463" s="6">
        <v>461</v>
      </c>
      <c r="B463" s="6" t="str">
        <f>"299420210528162828110939"</f>
        <v>299420210528162828110939</v>
      </c>
      <c r="C463" s="6" t="s">
        <v>9</v>
      </c>
      <c r="D463" s="6" t="str">
        <f>"黎俊诗"</f>
        <v>黎俊诗</v>
      </c>
      <c r="E463" s="6" t="str">
        <f t="shared" si="18"/>
        <v>女</v>
      </c>
    </row>
    <row r="464" spans="1:5" ht="30" customHeight="1">
      <c r="A464" s="6">
        <v>462</v>
      </c>
      <c r="B464" s="6" t="str">
        <f>"299420210528163847110961"</f>
        <v>299420210528163847110961</v>
      </c>
      <c r="C464" s="6" t="s">
        <v>9</v>
      </c>
      <c r="D464" s="6" t="str">
        <f>"黄丽婉"</f>
        <v>黄丽婉</v>
      </c>
      <c r="E464" s="6" t="str">
        <f t="shared" si="18"/>
        <v>女</v>
      </c>
    </row>
    <row r="465" spans="1:5" ht="30" customHeight="1">
      <c r="A465" s="6">
        <v>463</v>
      </c>
      <c r="B465" s="6" t="str">
        <f>"299420210528164102110964"</f>
        <v>299420210528164102110964</v>
      </c>
      <c r="C465" s="6" t="s">
        <v>9</v>
      </c>
      <c r="D465" s="6" t="str">
        <f>"陈琼金"</f>
        <v>陈琼金</v>
      </c>
      <c r="E465" s="6" t="str">
        <f t="shared" si="18"/>
        <v>女</v>
      </c>
    </row>
    <row r="466" spans="1:5" ht="30" customHeight="1">
      <c r="A466" s="6">
        <v>464</v>
      </c>
      <c r="B466" s="6" t="str">
        <f>"299420210528170145110993"</f>
        <v>299420210528170145110993</v>
      </c>
      <c r="C466" s="6" t="s">
        <v>9</v>
      </c>
      <c r="D466" s="6" t="str">
        <f>"文秋彦"</f>
        <v>文秋彦</v>
      </c>
      <c r="E466" s="6" t="str">
        <f t="shared" si="18"/>
        <v>女</v>
      </c>
    </row>
    <row r="467" spans="1:5" ht="30" customHeight="1">
      <c r="A467" s="6">
        <v>465</v>
      </c>
      <c r="B467" s="6" t="str">
        <f>"299420210528170630110996"</f>
        <v>299420210528170630110996</v>
      </c>
      <c r="C467" s="6" t="s">
        <v>9</v>
      </c>
      <c r="D467" s="6" t="str">
        <f>"林琼"</f>
        <v>林琼</v>
      </c>
      <c r="E467" s="6" t="str">
        <f t="shared" si="18"/>
        <v>女</v>
      </c>
    </row>
    <row r="468" spans="1:5" ht="30" customHeight="1">
      <c r="A468" s="6">
        <v>466</v>
      </c>
      <c r="B468" s="6" t="str">
        <f>"299420210528171137111004"</f>
        <v>299420210528171137111004</v>
      </c>
      <c r="C468" s="6" t="s">
        <v>9</v>
      </c>
      <c r="D468" s="6" t="str">
        <f>"熊丽虹"</f>
        <v>熊丽虹</v>
      </c>
      <c r="E468" s="6" t="str">
        <f t="shared" si="18"/>
        <v>女</v>
      </c>
    </row>
    <row r="469" spans="1:5" ht="30" customHeight="1">
      <c r="A469" s="6">
        <v>467</v>
      </c>
      <c r="B469" s="6" t="str">
        <f>"299420210528174920111057"</f>
        <v>299420210528174920111057</v>
      </c>
      <c r="C469" s="6" t="s">
        <v>9</v>
      </c>
      <c r="D469" s="6" t="str">
        <f>"郭海珊"</f>
        <v>郭海珊</v>
      </c>
      <c r="E469" s="6" t="str">
        <f t="shared" si="18"/>
        <v>女</v>
      </c>
    </row>
    <row r="470" spans="1:5" ht="30" customHeight="1">
      <c r="A470" s="6">
        <v>468</v>
      </c>
      <c r="B470" s="6" t="str">
        <f>"299420210528183055111104"</f>
        <v>299420210528183055111104</v>
      </c>
      <c r="C470" s="6" t="s">
        <v>9</v>
      </c>
      <c r="D470" s="6" t="str">
        <f>"羊秀美"</f>
        <v>羊秀美</v>
      </c>
      <c r="E470" s="6" t="str">
        <f t="shared" si="18"/>
        <v>女</v>
      </c>
    </row>
    <row r="471" spans="1:5" ht="30" customHeight="1">
      <c r="A471" s="6">
        <v>469</v>
      </c>
      <c r="B471" s="6" t="str">
        <f>"299420210528185638111128"</f>
        <v>299420210528185638111128</v>
      </c>
      <c r="C471" s="6" t="s">
        <v>9</v>
      </c>
      <c r="D471" s="6" t="str">
        <f>"孔婉茹"</f>
        <v>孔婉茹</v>
      </c>
      <c r="E471" s="6" t="str">
        <f t="shared" si="18"/>
        <v>女</v>
      </c>
    </row>
    <row r="472" spans="1:5" ht="30" customHeight="1">
      <c r="A472" s="6">
        <v>470</v>
      </c>
      <c r="B472" s="6" t="str">
        <f>"299420210528194713111176"</f>
        <v>299420210528194713111176</v>
      </c>
      <c r="C472" s="6" t="s">
        <v>9</v>
      </c>
      <c r="D472" s="6" t="str">
        <f>"赵倩"</f>
        <v>赵倩</v>
      </c>
      <c r="E472" s="6" t="str">
        <f t="shared" si="18"/>
        <v>女</v>
      </c>
    </row>
    <row r="473" spans="1:5" ht="30" customHeight="1">
      <c r="A473" s="6">
        <v>471</v>
      </c>
      <c r="B473" s="6" t="str">
        <f>"299420210528211712111250"</f>
        <v>299420210528211712111250</v>
      </c>
      <c r="C473" s="6" t="s">
        <v>9</v>
      </c>
      <c r="D473" s="6" t="str">
        <f>"黄丽升"</f>
        <v>黄丽升</v>
      </c>
      <c r="E473" s="6" t="str">
        <f t="shared" si="18"/>
        <v>女</v>
      </c>
    </row>
    <row r="474" spans="1:5" ht="30" customHeight="1">
      <c r="A474" s="6">
        <v>472</v>
      </c>
      <c r="B474" s="6" t="str">
        <f>"299420210528220406111292"</f>
        <v>299420210528220406111292</v>
      </c>
      <c r="C474" s="6" t="s">
        <v>9</v>
      </c>
      <c r="D474" s="6" t="str">
        <f>"黄祥霞"</f>
        <v>黄祥霞</v>
      </c>
      <c r="E474" s="6" t="str">
        <f t="shared" si="18"/>
        <v>女</v>
      </c>
    </row>
    <row r="475" spans="1:5" ht="30" customHeight="1">
      <c r="A475" s="6">
        <v>473</v>
      </c>
      <c r="B475" s="6" t="str">
        <f>"299420210528224317111327"</f>
        <v>299420210528224317111327</v>
      </c>
      <c r="C475" s="6" t="s">
        <v>9</v>
      </c>
      <c r="D475" s="6" t="str">
        <f>"张名娟"</f>
        <v>张名娟</v>
      </c>
      <c r="E475" s="6" t="str">
        <f t="shared" si="18"/>
        <v>女</v>
      </c>
    </row>
    <row r="476" spans="1:5" ht="30" customHeight="1">
      <c r="A476" s="6">
        <v>474</v>
      </c>
      <c r="B476" s="6" t="str">
        <f>"299420210529002702111387"</f>
        <v>299420210529002702111387</v>
      </c>
      <c r="C476" s="6" t="s">
        <v>9</v>
      </c>
      <c r="D476" s="6" t="str">
        <f>"周亚莲"</f>
        <v>周亚莲</v>
      </c>
      <c r="E476" s="6" t="str">
        <f t="shared" si="18"/>
        <v>女</v>
      </c>
    </row>
    <row r="477" spans="1:5" ht="30" customHeight="1">
      <c r="A477" s="6">
        <v>475</v>
      </c>
      <c r="B477" s="6" t="str">
        <f>"299420210529005309111395"</f>
        <v>299420210529005309111395</v>
      </c>
      <c r="C477" s="6" t="s">
        <v>9</v>
      </c>
      <c r="D477" s="6" t="str">
        <f>"林道萍"</f>
        <v>林道萍</v>
      </c>
      <c r="E477" s="6" t="str">
        <f t="shared" si="18"/>
        <v>女</v>
      </c>
    </row>
    <row r="478" spans="1:5" ht="30" customHeight="1">
      <c r="A478" s="6">
        <v>476</v>
      </c>
      <c r="B478" s="6" t="str">
        <f>"299420210529082019111415"</f>
        <v>299420210529082019111415</v>
      </c>
      <c r="C478" s="6" t="s">
        <v>9</v>
      </c>
      <c r="D478" s="6" t="str">
        <f>"钟惠"</f>
        <v>钟惠</v>
      </c>
      <c r="E478" s="6" t="str">
        <f t="shared" si="18"/>
        <v>女</v>
      </c>
    </row>
    <row r="479" spans="1:5" ht="30" customHeight="1">
      <c r="A479" s="6">
        <v>477</v>
      </c>
      <c r="B479" s="6" t="str">
        <f>"299420210529085301111427"</f>
        <v>299420210529085301111427</v>
      </c>
      <c r="C479" s="6" t="s">
        <v>9</v>
      </c>
      <c r="D479" s="6" t="str">
        <f>"王慧丽"</f>
        <v>王慧丽</v>
      </c>
      <c r="E479" s="6" t="str">
        <f t="shared" si="18"/>
        <v>女</v>
      </c>
    </row>
    <row r="480" spans="1:5" ht="30" customHeight="1">
      <c r="A480" s="6">
        <v>478</v>
      </c>
      <c r="B480" s="6" t="str">
        <f>"299420210529103946111501"</f>
        <v>299420210529103946111501</v>
      </c>
      <c r="C480" s="6" t="s">
        <v>9</v>
      </c>
      <c r="D480" s="6" t="str">
        <f>"蔡文静"</f>
        <v>蔡文静</v>
      </c>
      <c r="E480" s="6" t="str">
        <f t="shared" si="18"/>
        <v>女</v>
      </c>
    </row>
    <row r="481" spans="1:5" ht="30" customHeight="1">
      <c r="A481" s="6">
        <v>479</v>
      </c>
      <c r="B481" s="6" t="str">
        <f>"299420210529111424111539"</f>
        <v>299420210529111424111539</v>
      </c>
      <c r="C481" s="6" t="s">
        <v>9</v>
      </c>
      <c r="D481" s="6" t="str">
        <f>"赵春娇"</f>
        <v>赵春娇</v>
      </c>
      <c r="E481" s="6" t="str">
        <f t="shared" si="18"/>
        <v>女</v>
      </c>
    </row>
    <row r="482" spans="1:5" ht="30" customHeight="1">
      <c r="A482" s="6">
        <v>480</v>
      </c>
      <c r="B482" s="6" t="str">
        <f>"299420210529164226111758"</f>
        <v>299420210529164226111758</v>
      </c>
      <c r="C482" s="6" t="s">
        <v>9</v>
      </c>
      <c r="D482" s="6" t="str">
        <f>"麦桑桑"</f>
        <v>麦桑桑</v>
      </c>
      <c r="E482" s="6" t="str">
        <f t="shared" si="18"/>
        <v>女</v>
      </c>
    </row>
    <row r="483" spans="1:5" ht="30" customHeight="1">
      <c r="A483" s="6">
        <v>481</v>
      </c>
      <c r="B483" s="6" t="str">
        <f>"299420210529180451111805"</f>
        <v>299420210529180451111805</v>
      </c>
      <c r="C483" s="6" t="s">
        <v>9</v>
      </c>
      <c r="D483" s="6" t="str">
        <f>"林巧"</f>
        <v>林巧</v>
      </c>
      <c r="E483" s="6" t="str">
        <f t="shared" si="18"/>
        <v>女</v>
      </c>
    </row>
    <row r="484" spans="1:5" ht="30" customHeight="1">
      <c r="A484" s="6">
        <v>482</v>
      </c>
      <c r="B484" s="6" t="str">
        <f>"299420210529220303111945"</f>
        <v>299420210529220303111945</v>
      </c>
      <c r="C484" s="6" t="s">
        <v>9</v>
      </c>
      <c r="D484" s="6" t="str">
        <f>"陈金婧"</f>
        <v>陈金婧</v>
      </c>
      <c r="E484" s="6" t="str">
        <f t="shared" si="18"/>
        <v>女</v>
      </c>
    </row>
    <row r="485" spans="1:5" ht="30" customHeight="1">
      <c r="A485" s="6">
        <v>483</v>
      </c>
      <c r="B485" s="6" t="str">
        <f>"299420210529221229111956"</f>
        <v>299420210529221229111956</v>
      </c>
      <c r="C485" s="6" t="s">
        <v>9</v>
      </c>
      <c r="D485" s="6" t="str">
        <f>"郑冰"</f>
        <v>郑冰</v>
      </c>
      <c r="E485" s="6" t="str">
        <f t="shared" si="18"/>
        <v>女</v>
      </c>
    </row>
    <row r="486" spans="1:5" ht="30" customHeight="1">
      <c r="A486" s="6">
        <v>484</v>
      </c>
      <c r="B486" s="6" t="str">
        <f>"299420210529230851111996"</f>
        <v>299420210529230851111996</v>
      </c>
      <c r="C486" s="6" t="s">
        <v>9</v>
      </c>
      <c r="D486" s="6" t="str">
        <f>"符冬雨"</f>
        <v>符冬雨</v>
      </c>
      <c r="E486" s="6" t="str">
        <f t="shared" si="18"/>
        <v>女</v>
      </c>
    </row>
    <row r="487" spans="1:5" ht="30" customHeight="1">
      <c r="A487" s="6">
        <v>485</v>
      </c>
      <c r="B487" s="6" t="str">
        <f>"299420210529231104111997"</f>
        <v>299420210529231104111997</v>
      </c>
      <c r="C487" s="6" t="s">
        <v>9</v>
      </c>
      <c r="D487" s="6" t="str">
        <f>"文海婷"</f>
        <v>文海婷</v>
      </c>
      <c r="E487" s="6" t="str">
        <f t="shared" si="18"/>
        <v>女</v>
      </c>
    </row>
    <row r="488" spans="1:5" ht="30" customHeight="1">
      <c r="A488" s="6">
        <v>486</v>
      </c>
      <c r="B488" s="6" t="str">
        <f>"299420210530010349112044"</f>
        <v>299420210530010349112044</v>
      </c>
      <c r="C488" s="6" t="s">
        <v>9</v>
      </c>
      <c r="D488" s="6" t="str">
        <f>"吕晓珊"</f>
        <v>吕晓珊</v>
      </c>
      <c r="E488" s="6" t="str">
        <f t="shared" si="18"/>
        <v>女</v>
      </c>
    </row>
    <row r="489" spans="1:5" ht="30" customHeight="1">
      <c r="A489" s="6">
        <v>487</v>
      </c>
      <c r="B489" s="6" t="str">
        <f>"299420210530102227112146"</f>
        <v>299420210530102227112146</v>
      </c>
      <c r="C489" s="6" t="s">
        <v>9</v>
      </c>
      <c r="D489" s="6" t="str">
        <f>"温小宁"</f>
        <v>温小宁</v>
      </c>
      <c r="E489" s="6" t="str">
        <f aca="true" t="shared" si="19" ref="E489:E495">"女"</f>
        <v>女</v>
      </c>
    </row>
    <row r="490" spans="1:5" ht="30" customHeight="1">
      <c r="A490" s="6">
        <v>488</v>
      </c>
      <c r="B490" s="6" t="str">
        <f>"299420210530132723112309"</f>
        <v>299420210530132723112309</v>
      </c>
      <c r="C490" s="6" t="s">
        <v>9</v>
      </c>
      <c r="D490" s="6" t="str">
        <f>"林婧娇"</f>
        <v>林婧娇</v>
      </c>
      <c r="E490" s="6" t="str">
        <f t="shared" si="19"/>
        <v>女</v>
      </c>
    </row>
    <row r="491" spans="1:5" ht="30" customHeight="1">
      <c r="A491" s="6">
        <v>489</v>
      </c>
      <c r="B491" s="6" t="str">
        <f>"299420210530155617112383"</f>
        <v>299420210530155617112383</v>
      </c>
      <c r="C491" s="6" t="s">
        <v>9</v>
      </c>
      <c r="D491" s="6" t="str">
        <f>"冯铃雅"</f>
        <v>冯铃雅</v>
      </c>
      <c r="E491" s="6" t="str">
        <f t="shared" si="19"/>
        <v>女</v>
      </c>
    </row>
    <row r="492" spans="1:5" ht="30" customHeight="1">
      <c r="A492" s="6">
        <v>490</v>
      </c>
      <c r="B492" s="6" t="str">
        <f>"299420210530160607112390"</f>
        <v>299420210530160607112390</v>
      </c>
      <c r="C492" s="6" t="s">
        <v>9</v>
      </c>
      <c r="D492" s="6" t="str">
        <f>"倪娇娇"</f>
        <v>倪娇娇</v>
      </c>
      <c r="E492" s="6" t="str">
        <f t="shared" si="19"/>
        <v>女</v>
      </c>
    </row>
    <row r="493" spans="1:5" ht="30" customHeight="1">
      <c r="A493" s="6">
        <v>491</v>
      </c>
      <c r="B493" s="6" t="str">
        <f>"299420210530171306112438"</f>
        <v>299420210530171306112438</v>
      </c>
      <c r="C493" s="6" t="s">
        <v>9</v>
      </c>
      <c r="D493" s="6" t="str">
        <f>"王堂栏"</f>
        <v>王堂栏</v>
      </c>
      <c r="E493" s="6" t="str">
        <f t="shared" si="19"/>
        <v>女</v>
      </c>
    </row>
    <row r="494" spans="1:5" ht="30" customHeight="1">
      <c r="A494" s="6">
        <v>492</v>
      </c>
      <c r="B494" s="6" t="str">
        <f>"299420210530180553112493"</f>
        <v>299420210530180553112493</v>
      </c>
      <c r="C494" s="6" t="s">
        <v>9</v>
      </c>
      <c r="D494" s="6" t="str">
        <f>"郑玉"</f>
        <v>郑玉</v>
      </c>
      <c r="E494" s="6" t="str">
        <f t="shared" si="19"/>
        <v>女</v>
      </c>
    </row>
    <row r="495" spans="1:5" ht="30" customHeight="1">
      <c r="A495" s="6">
        <v>493</v>
      </c>
      <c r="B495" s="6" t="str">
        <f>"299420210530204656112629"</f>
        <v>299420210530204656112629</v>
      </c>
      <c r="C495" s="6" t="s">
        <v>9</v>
      </c>
      <c r="D495" s="6" t="str">
        <f>"吴廷玉"</f>
        <v>吴廷玉</v>
      </c>
      <c r="E495" s="6" t="str">
        <f t="shared" si="19"/>
        <v>女</v>
      </c>
    </row>
    <row r="496" spans="1:5" ht="30" customHeight="1">
      <c r="A496" s="6">
        <v>494</v>
      </c>
      <c r="B496" s="6" t="str">
        <f>"299420210530214434112710"</f>
        <v>299420210530214434112710</v>
      </c>
      <c r="C496" s="6" t="s">
        <v>9</v>
      </c>
      <c r="D496" s="6" t="str">
        <f>"许毅光"</f>
        <v>许毅光</v>
      </c>
      <c r="E496" s="6" t="str">
        <f>"男"</f>
        <v>男</v>
      </c>
    </row>
    <row r="497" spans="1:5" ht="30" customHeight="1">
      <c r="A497" s="6">
        <v>495</v>
      </c>
      <c r="B497" s="6" t="str">
        <f>"299420210530220947112740"</f>
        <v>299420210530220947112740</v>
      </c>
      <c r="C497" s="6" t="s">
        <v>9</v>
      </c>
      <c r="D497" s="6" t="str">
        <f>"唐海丽"</f>
        <v>唐海丽</v>
      </c>
      <c r="E497" s="6" t="str">
        <f aca="true" t="shared" si="20" ref="E497:E532">"女"</f>
        <v>女</v>
      </c>
    </row>
    <row r="498" spans="1:5" ht="30" customHeight="1">
      <c r="A498" s="6">
        <v>496</v>
      </c>
      <c r="B498" s="6" t="str">
        <f>"299420210530230411112817"</f>
        <v>299420210530230411112817</v>
      </c>
      <c r="C498" s="6" t="s">
        <v>9</v>
      </c>
      <c r="D498" s="6" t="str">
        <f>"徐贵佳"</f>
        <v>徐贵佳</v>
      </c>
      <c r="E498" s="6" t="str">
        <f t="shared" si="20"/>
        <v>女</v>
      </c>
    </row>
    <row r="499" spans="1:5" ht="30" customHeight="1">
      <c r="A499" s="6">
        <v>497</v>
      </c>
      <c r="B499" s="6" t="str">
        <f>"299420210530233346112856"</f>
        <v>299420210530233346112856</v>
      </c>
      <c r="C499" s="6" t="s">
        <v>9</v>
      </c>
      <c r="D499" s="6" t="str">
        <f>"翁小冰"</f>
        <v>翁小冰</v>
      </c>
      <c r="E499" s="6" t="str">
        <f t="shared" si="20"/>
        <v>女</v>
      </c>
    </row>
    <row r="500" spans="1:5" ht="30" customHeight="1">
      <c r="A500" s="6">
        <v>498</v>
      </c>
      <c r="B500" s="6" t="str">
        <f>"299420210531074606112931"</f>
        <v>299420210531074606112931</v>
      </c>
      <c r="C500" s="6" t="s">
        <v>9</v>
      </c>
      <c r="D500" s="6" t="str">
        <f>"李玥"</f>
        <v>李玥</v>
      </c>
      <c r="E500" s="6" t="str">
        <f t="shared" si="20"/>
        <v>女</v>
      </c>
    </row>
    <row r="501" spans="1:5" ht="30" customHeight="1">
      <c r="A501" s="6">
        <v>499</v>
      </c>
      <c r="B501" s="6" t="str">
        <f>"299420210531082550112955"</f>
        <v>299420210531082550112955</v>
      </c>
      <c r="C501" s="6" t="s">
        <v>9</v>
      </c>
      <c r="D501" s="6" t="str">
        <f>"钟惠"</f>
        <v>钟惠</v>
      </c>
      <c r="E501" s="6" t="str">
        <f t="shared" si="20"/>
        <v>女</v>
      </c>
    </row>
    <row r="502" spans="1:5" ht="30" customHeight="1">
      <c r="A502" s="6">
        <v>500</v>
      </c>
      <c r="B502" s="6" t="str">
        <f>"299420210531090226112999"</f>
        <v>299420210531090226112999</v>
      </c>
      <c r="C502" s="6" t="s">
        <v>9</v>
      </c>
      <c r="D502" s="6" t="str">
        <f>"王佳仪"</f>
        <v>王佳仪</v>
      </c>
      <c r="E502" s="6" t="str">
        <f t="shared" si="20"/>
        <v>女</v>
      </c>
    </row>
    <row r="503" spans="1:5" ht="30" customHeight="1">
      <c r="A503" s="6">
        <v>501</v>
      </c>
      <c r="B503" s="6" t="str">
        <f>"299420210531115026113280"</f>
        <v>299420210531115026113280</v>
      </c>
      <c r="C503" s="6" t="s">
        <v>9</v>
      </c>
      <c r="D503" s="6" t="str">
        <f>"杨繁"</f>
        <v>杨繁</v>
      </c>
      <c r="E503" s="6" t="str">
        <f t="shared" si="20"/>
        <v>女</v>
      </c>
    </row>
    <row r="504" spans="1:5" ht="30" customHeight="1">
      <c r="A504" s="6">
        <v>502</v>
      </c>
      <c r="B504" s="6" t="str">
        <f>"299420210531154741113609"</f>
        <v>299420210531154741113609</v>
      </c>
      <c r="C504" s="6" t="s">
        <v>9</v>
      </c>
      <c r="D504" s="6" t="str">
        <f>"黄小燕"</f>
        <v>黄小燕</v>
      </c>
      <c r="E504" s="6" t="str">
        <f t="shared" si="20"/>
        <v>女</v>
      </c>
    </row>
    <row r="505" spans="1:5" ht="30" customHeight="1">
      <c r="A505" s="6">
        <v>503</v>
      </c>
      <c r="B505" s="6" t="str">
        <f>"299420210531155118113616"</f>
        <v>299420210531155118113616</v>
      </c>
      <c r="C505" s="6" t="s">
        <v>9</v>
      </c>
      <c r="D505" s="6" t="str">
        <f>"林慧敏"</f>
        <v>林慧敏</v>
      </c>
      <c r="E505" s="6" t="str">
        <f t="shared" si="20"/>
        <v>女</v>
      </c>
    </row>
    <row r="506" spans="1:5" ht="30" customHeight="1">
      <c r="A506" s="6">
        <v>504</v>
      </c>
      <c r="B506" s="6" t="str">
        <f>"299420210531155601113624"</f>
        <v>299420210531155601113624</v>
      </c>
      <c r="C506" s="6" t="s">
        <v>9</v>
      </c>
      <c r="D506" s="6" t="str">
        <f>"梁海英"</f>
        <v>梁海英</v>
      </c>
      <c r="E506" s="6" t="str">
        <f t="shared" si="20"/>
        <v>女</v>
      </c>
    </row>
    <row r="507" spans="1:5" ht="30" customHeight="1">
      <c r="A507" s="6">
        <v>505</v>
      </c>
      <c r="B507" s="6" t="str">
        <f>"299420210525090543104279"</f>
        <v>299420210525090543104279</v>
      </c>
      <c r="C507" s="6" t="s">
        <v>10</v>
      </c>
      <c r="D507" s="6" t="str">
        <f>"梁小凤"</f>
        <v>梁小凤</v>
      </c>
      <c r="E507" s="6" t="str">
        <f t="shared" si="20"/>
        <v>女</v>
      </c>
    </row>
    <row r="508" spans="1:5" ht="30" customHeight="1">
      <c r="A508" s="6">
        <v>506</v>
      </c>
      <c r="B508" s="6" t="str">
        <f>"299420210525091247104328"</f>
        <v>299420210525091247104328</v>
      </c>
      <c r="C508" s="6" t="s">
        <v>10</v>
      </c>
      <c r="D508" s="6" t="str">
        <f>"杜香娇"</f>
        <v>杜香娇</v>
      </c>
      <c r="E508" s="6" t="str">
        <f t="shared" si="20"/>
        <v>女</v>
      </c>
    </row>
    <row r="509" spans="1:5" ht="30" customHeight="1">
      <c r="A509" s="6">
        <v>507</v>
      </c>
      <c r="B509" s="6" t="str">
        <f>"299420210525093149104428"</f>
        <v>299420210525093149104428</v>
      </c>
      <c r="C509" s="6" t="s">
        <v>10</v>
      </c>
      <c r="D509" s="6" t="str">
        <f>"寇瑶琴"</f>
        <v>寇瑶琴</v>
      </c>
      <c r="E509" s="6" t="str">
        <f t="shared" si="20"/>
        <v>女</v>
      </c>
    </row>
    <row r="510" spans="1:5" ht="30" customHeight="1">
      <c r="A510" s="6">
        <v>508</v>
      </c>
      <c r="B510" s="6" t="str">
        <f>"299420210525093324104440"</f>
        <v>299420210525093324104440</v>
      </c>
      <c r="C510" s="6" t="s">
        <v>10</v>
      </c>
      <c r="D510" s="6" t="str">
        <f>"于婷"</f>
        <v>于婷</v>
      </c>
      <c r="E510" s="6" t="str">
        <f t="shared" si="20"/>
        <v>女</v>
      </c>
    </row>
    <row r="511" spans="1:5" ht="30" customHeight="1">
      <c r="A511" s="6">
        <v>509</v>
      </c>
      <c r="B511" s="6" t="str">
        <f>"299420210525094816104538"</f>
        <v>299420210525094816104538</v>
      </c>
      <c r="C511" s="6" t="s">
        <v>10</v>
      </c>
      <c r="D511" s="6" t="str">
        <f>"蔡金芝"</f>
        <v>蔡金芝</v>
      </c>
      <c r="E511" s="6" t="str">
        <f t="shared" si="20"/>
        <v>女</v>
      </c>
    </row>
    <row r="512" spans="1:5" ht="30" customHeight="1">
      <c r="A512" s="6">
        <v>510</v>
      </c>
      <c r="B512" s="6" t="str">
        <f>"299420210525103337104817"</f>
        <v>299420210525103337104817</v>
      </c>
      <c r="C512" s="6" t="s">
        <v>10</v>
      </c>
      <c r="D512" s="6" t="str">
        <f>"王淑玲"</f>
        <v>王淑玲</v>
      </c>
      <c r="E512" s="6" t="str">
        <f t="shared" si="20"/>
        <v>女</v>
      </c>
    </row>
    <row r="513" spans="1:5" ht="30" customHeight="1">
      <c r="A513" s="6">
        <v>511</v>
      </c>
      <c r="B513" s="6" t="str">
        <f>"299420210525104235104875"</f>
        <v>299420210525104235104875</v>
      </c>
      <c r="C513" s="6" t="s">
        <v>10</v>
      </c>
      <c r="D513" s="6" t="str">
        <f>"林燕青"</f>
        <v>林燕青</v>
      </c>
      <c r="E513" s="6" t="str">
        <f t="shared" si="20"/>
        <v>女</v>
      </c>
    </row>
    <row r="514" spans="1:5" ht="30" customHeight="1">
      <c r="A514" s="6">
        <v>512</v>
      </c>
      <c r="B514" s="6" t="str">
        <f>"299420210525104322104879"</f>
        <v>299420210525104322104879</v>
      </c>
      <c r="C514" s="6" t="s">
        <v>10</v>
      </c>
      <c r="D514" s="6" t="str">
        <f>"吴儒玲"</f>
        <v>吴儒玲</v>
      </c>
      <c r="E514" s="6" t="str">
        <f t="shared" si="20"/>
        <v>女</v>
      </c>
    </row>
    <row r="515" spans="1:5" ht="30" customHeight="1">
      <c r="A515" s="6">
        <v>513</v>
      </c>
      <c r="B515" s="6" t="str">
        <f>"299420210525104453104890"</f>
        <v>299420210525104453104890</v>
      </c>
      <c r="C515" s="6" t="s">
        <v>10</v>
      </c>
      <c r="D515" s="6" t="str">
        <f>"陈秋谷"</f>
        <v>陈秋谷</v>
      </c>
      <c r="E515" s="6" t="str">
        <f t="shared" si="20"/>
        <v>女</v>
      </c>
    </row>
    <row r="516" spans="1:5" ht="30" customHeight="1">
      <c r="A516" s="6">
        <v>514</v>
      </c>
      <c r="B516" s="6" t="str">
        <f>"299420210525104802104904"</f>
        <v>299420210525104802104904</v>
      </c>
      <c r="C516" s="6" t="s">
        <v>10</v>
      </c>
      <c r="D516" s="6" t="str">
        <f>"孙小惠"</f>
        <v>孙小惠</v>
      </c>
      <c r="E516" s="6" t="str">
        <f t="shared" si="20"/>
        <v>女</v>
      </c>
    </row>
    <row r="517" spans="1:5" ht="30" customHeight="1">
      <c r="A517" s="6">
        <v>515</v>
      </c>
      <c r="B517" s="6" t="str">
        <f>"299420210525104836104910"</f>
        <v>299420210525104836104910</v>
      </c>
      <c r="C517" s="6" t="s">
        <v>10</v>
      </c>
      <c r="D517" s="6" t="str">
        <f>"蔡兴静"</f>
        <v>蔡兴静</v>
      </c>
      <c r="E517" s="6" t="str">
        <f t="shared" si="20"/>
        <v>女</v>
      </c>
    </row>
    <row r="518" spans="1:5" ht="30" customHeight="1">
      <c r="A518" s="6">
        <v>516</v>
      </c>
      <c r="B518" s="6" t="str">
        <f>"299420210525111103105013"</f>
        <v>299420210525111103105013</v>
      </c>
      <c r="C518" s="6" t="s">
        <v>10</v>
      </c>
      <c r="D518" s="6" t="str">
        <f>"庞云引"</f>
        <v>庞云引</v>
      </c>
      <c r="E518" s="6" t="str">
        <f t="shared" si="20"/>
        <v>女</v>
      </c>
    </row>
    <row r="519" spans="1:5" ht="30" customHeight="1">
      <c r="A519" s="6">
        <v>517</v>
      </c>
      <c r="B519" s="6" t="str">
        <f>"299420210525111313105024"</f>
        <v>299420210525111313105024</v>
      </c>
      <c r="C519" s="6" t="s">
        <v>10</v>
      </c>
      <c r="D519" s="6" t="str">
        <f>"林仙蕾"</f>
        <v>林仙蕾</v>
      </c>
      <c r="E519" s="6" t="str">
        <f t="shared" si="20"/>
        <v>女</v>
      </c>
    </row>
    <row r="520" spans="1:5" ht="30" customHeight="1">
      <c r="A520" s="6">
        <v>518</v>
      </c>
      <c r="B520" s="6" t="str">
        <f>"299420210525112821105094"</f>
        <v>299420210525112821105094</v>
      </c>
      <c r="C520" s="6" t="s">
        <v>10</v>
      </c>
      <c r="D520" s="6" t="str">
        <f>"陈芳华"</f>
        <v>陈芳华</v>
      </c>
      <c r="E520" s="6" t="str">
        <f t="shared" si="20"/>
        <v>女</v>
      </c>
    </row>
    <row r="521" spans="1:5" ht="30" customHeight="1">
      <c r="A521" s="6">
        <v>519</v>
      </c>
      <c r="B521" s="6" t="str">
        <f>"299420210525115221105195"</f>
        <v>299420210525115221105195</v>
      </c>
      <c r="C521" s="6" t="s">
        <v>10</v>
      </c>
      <c r="D521" s="6" t="str">
        <f>"文珺"</f>
        <v>文珺</v>
      </c>
      <c r="E521" s="6" t="str">
        <f t="shared" si="20"/>
        <v>女</v>
      </c>
    </row>
    <row r="522" spans="1:5" ht="30" customHeight="1">
      <c r="A522" s="6">
        <v>520</v>
      </c>
      <c r="B522" s="6" t="str">
        <f>"299420210525121219105273"</f>
        <v>299420210525121219105273</v>
      </c>
      <c r="C522" s="6" t="s">
        <v>10</v>
      </c>
      <c r="D522" s="6" t="str">
        <f>"郭仁玲"</f>
        <v>郭仁玲</v>
      </c>
      <c r="E522" s="6" t="str">
        <f t="shared" si="20"/>
        <v>女</v>
      </c>
    </row>
    <row r="523" spans="1:5" ht="30" customHeight="1">
      <c r="A523" s="6">
        <v>521</v>
      </c>
      <c r="B523" s="6" t="str">
        <f>"299420210525150959105678"</f>
        <v>299420210525150959105678</v>
      </c>
      <c r="C523" s="6" t="s">
        <v>10</v>
      </c>
      <c r="D523" s="6" t="str">
        <f>"李小婷"</f>
        <v>李小婷</v>
      </c>
      <c r="E523" s="6" t="str">
        <f t="shared" si="20"/>
        <v>女</v>
      </c>
    </row>
    <row r="524" spans="1:5" ht="30" customHeight="1">
      <c r="A524" s="6">
        <v>522</v>
      </c>
      <c r="B524" s="6" t="str">
        <f>"299420210525152019105714"</f>
        <v>299420210525152019105714</v>
      </c>
      <c r="C524" s="6" t="s">
        <v>10</v>
      </c>
      <c r="D524" s="6" t="str">
        <f>"林姝含"</f>
        <v>林姝含</v>
      </c>
      <c r="E524" s="6" t="str">
        <f t="shared" si="20"/>
        <v>女</v>
      </c>
    </row>
    <row r="525" spans="1:5" ht="30" customHeight="1">
      <c r="A525" s="6">
        <v>523</v>
      </c>
      <c r="B525" s="6" t="str">
        <f>"299420210525152723105743"</f>
        <v>299420210525152723105743</v>
      </c>
      <c r="C525" s="6" t="s">
        <v>10</v>
      </c>
      <c r="D525" s="6" t="str">
        <f>"王伟"</f>
        <v>王伟</v>
      </c>
      <c r="E525" s="6" t="str">
        <f t="shared" si="20"/>
        <v>女</v>
      </c>
    </row>
    <row r="526" spans="1:5" ht="30" customHeight="1">
      <c r="A526" s="6">
        <v>524</v>
      </c>
      <c r="B526" s="6" t="str">
        <f>"299420210525155806105837"</f>
        <v>299420210525155806105837</v>
      </c>
      <c r="C526" s="6" t="s">
        <v>10</v>
      </c>
      <c r="D526" s="6" t="str">
        <f>"林月惠"</f>
        <v>林月惠</v>
      </c>
      <c r="E526" s="6" t="str">
        <f t="shared" si="20"/>
        <v>女</v>
      </c>
    </row>
    <row r="527" spans="1:5" ht="30" customHeight="1">
      <c r="A527" s="6">
        <v>525</v>
      </c>
      <c r="B527" s="6" t="str">
        <f>"299420210525161916105903"</f>
        <v>299420210525161916105903</v>
      </c>
      <c r="C527" s="6" t="s">
        <v>10</v>
      </c>
      <c r="D527" s="6" t="str">
        <f>"罗娟媛"</f>
        <v>罗娟媛</v>
      </c>
      <c r="E527" s="6" t="str">
        <f t="shared" si="20"/>
        <v>女</v>
      </c>
    </row>
    <row r="528" spans="1:5" ht="30" customHeight="1">
      <c r="A528" s="6">
        <v>526</v>
      </c>
      <c r="B528" s="6" t="str">
        <f>"299420210525162652105922"</f>
        <v>299420210525162652105922</v>
      </c>
      <c r="C528" s="6" t="s">
        <v>10</v>
      </c>
      <c r="D528" s="6" t="str">
        <f>"陈宝桦"</f>
        <v>陈宝桦</v>
      </c>
      <c r="E528" s="6" t="str">
        <f t="shared" si="20"/>
        <v>女</v>
      </c>
    </row>
    <row r="529" spans="1:5" ht="30" customHeight="1">
      <c r="A529" s="6">
        <v>527</v>
      </c>
      <c r="B529" s="6" t="str">
        <f>"299420210525165831106011"</f>
        <v>299420210525165831106011</v>
      </c>
      <c r="C529" s="6" t="s">
        <v>10</v>
      </c>
      <c r="D529" s="6" t="str">
        <f>"陈金雪"</f>
        <v>陈金雪</v>
      </c>
      <c r="E529" s="6" t="str">
        <f t="shared" si="20"/>
        <v>女</v>
      </c>
    </row>
    <row r="530" spans="1:5" ht="30" customHeight="1">
      <c r="A530" s="6">
        <v>528</v>
      </c>
      <c r="B530" s="6" t="str">
        <f>"299420210525172613106066"</f>
        <v>299420210525172613106066</v>
      </c>
      <c r="C530" s="6" t="s">
        <v>10</v>
      </c>
      <c r="D530" s="6" t="str">
        <f>"陈丽芳"</f>
        <v>陈丽芳</v>
      </c>
      <c r="E530" s="6" t="str">
        <f t="shared" si="20"/>
        <v>女</v>
      </c>
    </row>
    <row r="531" spans="1:5" ht="30" customHeight="1">
      <c r="A531" s="6">
        <v>529</v>
      </c>
      <c r="B531" s="6" t="str">
        <f>"299420210525173107106076"</f>
        <v>299420210525173107106076</v>
      </c>
      <c r="C531" s="6" t="s">
        <v>10</v>
      </c>
      <c r="D531" s="6" t="str">
        <f>"扈雅宁"</f>
        <v>扈雅宁</v>
      </c>
      <c r="E531" s="6" t="str">
        <f t="shared" si="20"/>
        <v>女</v>
      </c>
    </row>
    <row r="532" spans="1:5" ht="30" customHeight="1">
      <c r="A532" s="6">
        <v>530</v>
      </c>
      <c r="B532" s="6" t="str">
        <f>"299420210525181015106169"</f>
        <v>299420210525181015106169</v>
      </c>
      <c r="C532" s="6" t="s">
        <v>10</v>
      </c>
      <c r="D532" s="6" t="str">
        <f>"赵丽"</f>
        <v>赵丽</v>
      </c>
      <c r="E532" s="6" t="str">
        <f t="shared" si="20"/>
        <v>女</v>
      </c>
    </row>
    <row r="533" spans="1:5" ht="30" customHeight="1">
      <c r="A533" s="6">
        <v>531</v>
      </c>
      <c r="B533" s="6" t="str">
        <f>"299420210525182703106210"</f>
        <v>299420210525182703106210</v>
      </c>
      <c r="C533" s="6" t="s">
        <v>10</v>
      </c>
      <c r="D533" s="6" t="str">
        <f>"胡伟"</f>
        <v>胡伟</v>
      </c>
      <c r="E533" s="6" t="str">
        <f>"男"</f>
        <v>男</v>
      </c>
    </row>
    <row r="534" spans="1:5" ht="30" customHeight="1">
      <c r="A534" s="6">
        <v>532</v>
      </c>
      <c r="B534" s="6" t="str">
        <f>"299420210525185154106265"</f>
        <v>299420210525185154106265</v>
      </c>
      <c r="C534" s="6" t="s">
        <v>10</v>
      </c>
      <c r="D534" s="6" t="str">
        <f>"曾妙"</f>
        <v>曾妙</v>
      </c>
      <c r="E534" s="6" t="str">
        <f>"女"</f>
        <v>女</v>
      </c>
    </row>
    <row r="535" spans="1:5" ht="30" customHeight="1">
      <c r="A535" s="6">
        <v>533</v>
      </c>
      <c r="B535" s="6" t="str">
        <f>"299420210525191328106306"</f>
        <v>299420210525191328106306</v>
      </c>
      <c r="C535" s="6" t="s">
        <v>10</v>
      </c>
      <c r="D535" s="6" t="str">
        <f>"廖秋萍"</f>
        <v>廖秋萍</v>
      </c>
      <c r="E535" s="6" t="str">
        <f>"女"</f>
        <v>女</v>
      </c>
    </row>
    <row r="536" spans="1:5" ht="30" customHeight="1">
      <c r="A536" s="6">
        <v>534</v>
      </c>
      <c r="B536" s="6" t="str">
        <f>"299420210525195817106419"</f>
        <v>299420210525195817106419</v>
      </c>
      <c r="C536" s="6" t="s">
        <v>10</v>
      </c>
      <c r="D536" s="6" t="str">
        <f>"左格格"</f>
        <v>左格格</v>
      </c>
      <c r="E536" s="6" t="str">
        <f>"女"</f>
        <v>女</v>
      </c>
    </row>
    <row r="537" spans="1:5" ht="30" customHeight="1">
      <c r="A537" s="6">
        <v>535</v>
      </c>
      <c r="B537" s="6" t="str">
        <f>"299420210525202040106465"</f>
        <v>299420210525202040106465</v>
      </c>
      <c r="C537" s="6" t="s">
        <v>10</v>
      </c>
      <c r="D537" s="6" t="str">
        <f>"石挺森"</f>
        <v>石挺森</v>
      </c>
      <c r="E537" s="6" t="str">
        <f>"男"</f>
        <v>男</v>
      </c>
    </row>
    <row r="538" spans="1:5" ht="30" customHeight="1">
      <c r="A538" s="6">
        <v>536</v>
      </c>
      <c r="B538" s="6" t="str">
        <f>"299420210525211142106575"</f>
        <v>299420210525211142106575</v>
      </c>
      <c r="C538" s="6" t="s">
        <v>10</v>
      </c>
      <c r="D538" s="6" t="str">
        <f>"曾敏琴"</f>
        <v>曾敏琴</v>
      </c>
      <c r="E538" s="6" t="str">
        <f>"女"</f>
        <v>女</v>
      </c>
    </row>
    <row r="539" spans="1:5" ht="30" customHeight="1">
      <c r="A539" s="6">
        <v>537</v>
      </c>
      <c r="B539" s="6" t="str">
        <f>"299420210525223430106771"</f>
        <v>299420210525223430106771</v>
      </c>
      <c r="C539" s="6" t="s">
        <v>10</v>
      </c>
      <c r="D539" s="6" t="str">
        <f>"叶朝娜"</f>
        <v>叶朝娜</v>
      </c>
      <c r="E539" s="6" t="str">
        <f>"女"</f>
        <v>女</v>
      </c>
    </row>
    <row r="540" spans="1:5" ht="30" customHeight="1">
      <c r="A540" s="6">
        <v>538</v>
      </c>
      <c r="B540" s="6" t="str">
        <f>"299420210525224918106803"</f>
        <v>299420210525224918106803</v>
      </c>
      <c r="C540" s="6" t="s">
        <v>10</v>
      </c>
      <c r="D540" s="6" t="str">
        <f>"谭红晓"</f>
        <v>谭红晓</v>
      </c>
      <c r="E540" s="6" t="str">
        <f>"女"</f>
        <v>女</v>
      </c>
    </row>
    <row r="541" spans="1:5" ht="30" customHeight="1">
      <c r="A541" s="6">
        <v>539</v>
      </c>
      <c r="B541" s="6" t="str">
        <f>"299420210525234218106886"</f>
        <v>299420210525234218106886</v>
      </c>
      <c r="C541" s="6" t="s">
        <v>10</v>
      </c>
      <c r="D541" s="6" t="str">
        <f>"王禄云"</f>
        <v>王禄云</v>
      </c>
      <c r="E541" s="6" t="str">
        <f>"男"</f>
        <v>男</v>
      </c>
    </row>
    <row r="542" spans="1:5" ht="30" customHeight="1">
      <c r="A542" s="6">
        <v>540</v>
      </c>
      <c r="B542" s="6" t="str">
        <f>"299420210525235808106902"</f>
        <v>299420210525235808106902</v>
      </c>
      <c r="C542" s="6" t="s">
        <v>10</v>
      </c>
      <c r="D542" s="6" t="str">
        <f>"王玉超"</f>
        <v>王玉超</v>
      </c>
      <c r="E542" s="6" t="str">
        <f>"女"</f>
        <v>女</v>
      </c>
    </row>
    <row r="543" spans="1:5" ht="30" customHeight="1">
      <c r="A543" s="6">
        <v>541</v>
      </c>
      <c r="B543" s="6" t="str">
        <f>"299420210526002142106919"</f>
        <v>299420210526002142106919</v>
      </c>
      <c r="C543" s="6" t="s">
        <v>10</v>
      </c>
      <c r="D543" s="6" t="str">
        <f>"周文菁"</f>
        <v>周文菁</v>
      </c>
      <c r="E543" s="6" t="str">
        <f>"女"</f>
        <v>女</v>
      </c>
    </row>
    <row r="544" spans="1:5" ht="30" customHeight="1">
      <c r="A544" s="6">
        <v>542</v>
      </c>
      <c r="B544" s="6" t="str">
        <f>"299420210526074025106958"</f>
        <v>299420210526074025106958</v>
      </c>
      <c r="C544" s="6" t="s">
        <v>10</v>
      </c>
      <c r="D544" s="6" t="str">
        <f>"张瑜"</f>
        <v>张瑜</v>
      </c>
      <c r="E544" s="6" t="str">
        <f>"女"</f>
        <v>女</v>
      </c>
    </row>
    <row r="545" spans="1:5" ht="30" customHeight="1">
      <c r="A545" s="6">
        <v>543</v>
      </c>
      <c r="B545" s="6" t="str">
        <f>"299420210526085053107047"</f>
        <v>299420210526085053107047</v>
      </c>
      <c r="C545" s="6" t="s">
        <v>10</v>
      </c>
      <c r="D545" s="6" t="str">
        <f>"冯迅"</f>
        <v>冯迅</v>
      </c>
      <c r="E545" s="6" t="str">
        <f>"女"</f>
        <v>女</v>
      </c>
    </row>
    <row r="546" spans="1:5" ht="30" customHeight="1">
      <c r="A546" s="6">
        <v>544</v>
      </c>
      <c r="B546" s="6" t="str">
        <f>"299420210526092901107120"</f>
        <v>299420210526092901107120</v>
      </c>
      <c r="C546" s="6" t="s">
        <v>10</v>
      </c>
      <c r="D546" s="6" t="str">
        <f>"周嘉琪"</f>
        <v>周嘉琪</v>
      </c>
      <c r="E546" s="6" t="str">
        <f>"女"</f>
        <v>女</v>
      </c>
    </row>
    <row r="547" spans="1:5" ht="30" customHeight="1">
      <c r="A547" s="6">
        <v>545</v>
      </c>
      <c r="B547" s="6" t="str">
        <f>"299420210526101151107225"</f>
        <v>299420210526101151107225</v>
      </c>
      <c r="C547" s="6" t="s">
        <v>10</v>
      </c>
      <c r="D547" s="6" t="str">
        <f>"唐振东"</f>
        <v>唐振东</v>
      </c>
      <c r="E547" s="6" t="str">
        <f>"男"</f>
        <v>男</v>
      </c>
    </row>
    <row r="548" spans="1:5" ht="30" customHeight="1">
      <c r="A548" s="6">
        <v>546</v>
      </c>
      <c r="B548" s="6" t="str">
        <f>"299420210526115819107465"</f>
        <v>299420210526115819107465</v>
      </c>
      <c r="C548" s="6" t="s">
        <v>10</v>
      </c>
      <c r="D548" s="6" t="str">
        <f>"杜秀翠"</f>
        <v>杜秀翠</v>
      </c>
      <c r="E548" s="6" t="str">
        <f>"女"</f>
        <v>女</v>
      </c>
    </row>
    <row r="549" spans="1:5" ht="30" customHeight="1">
      <c r="A549" s="6">
        <v>547</v>
      </c>
      <c r="B549" s="6" t="str">
        <f>"299420210526121620107498"</f>
        <v>299420210526121620107498</v>
      </c>
      <c r="C549" s="6" t="s">
        <v>10</v>
      </c>
      <c r="D549" s="6" t="str">
        <f>"王燕珍"</f>
        <v>王燕珍</v>
      </c>
      <c r="E549" s="6" t="str">
        <f>"女"</f>
        <v>女</v>
      </c>
    </row>
    <row r="550" spans="1:5" ht="30" customHeight="1">
      <c r="A550" s="6">
        <v>548</v>
      </c>
      <c r="B550" s="6" t="str">
        <f>"299420210526124548107564"</f>
        <v>299420210526124548107564</v>
      </c>
      <c r="C550" s="6" t="s">
        <v>10</v>
      </c>
      <c r="D550" s="6" t="str">
        <f>"梁志鹏"</f>
        <v>梁志鹏</v>
      </c>
      <c r="E550" s="6" t="str">
        <f>"男"</f>
        <v>男</v>
      </c>
    </row>
    <row r="551" spans="1:5" ht="30" customHeight="1">
      <c r="A551" s="6">
        <v>549</v>
      </c>
      <c r="B551" s="6" t="str">
        <f>"299420210526130248107615"</f>
        <v>299420210526130248107615</v>
      </c>
      <c r="C551" s="6" t="s">
        <v>10</v>
      </c>
      <c r="D551" s="6" t="str">
        <f>"曾妙意"</f>
        <v>曾妙意</v>
      </c>
      <c r="E551" s="6" t="str">
        <f aca="true" t="shared" si="21" ref="E551:E560">"女"</f>
        <v>女</v>
      </c>
    </row>
    <row r="552" spans="1:5" ht="30" customHeight="1">
      <c r="A552" s="6">
        <v>550</v>
      </c>
      <c r="B552" s="6" t="str">
        <f>"299420210526130819107624"</f>
        <v>299420210526130819107624</v>
      </c>
      <c r="C552" s="6" t="s">
        <v>10</v>
      </c>
      <c r="D552" s="6" t="str">
        <f>"林丽萍"</f>
        <v>林丽萍</v>
      </c>
      <c r="E552" s="6" t="str">
        <f t="shared" si="21"/>
        <v>女</v>
      </c>
    </row>
    <row r="553" spans="1:5" ht="30" customHeight="1">
      <c r="A553" s="6">
        <v>551</v>
      </c>
      <c r="B553" s="6" t="str">
        <f>"299420210526145637107721"</f>
        <v>299420210526145637107721</v>
      </c>
      <c r="C553" s="6" t="s">
        <v>10</v>
      </c>
      <c r="D553" s="6" t="str">
        <f>"许花秀"</f>
        <v>许花秀</v>
      </c>
      <c r="E553" s="6" t="str">
        <f t="shared" si="21"/>
        <v>女</v>
      </c>
    </row>
    <row r="554" spans="1:5" ht="30" customHeight="1">
      <c r="A554" s="6">
        <v>552</v>
      </c>
      <c r="B554" s="6" t="str">
        <f>"299420210526152323107777"</f>
        <v>299420210526152323107777</v>
      </c>
      <c r="C554" s="6" t="s">
        <v>10</v>
      </c>
      <c r="D554" s="6" t="str">
        <f>"何桂玉"</f>
        <v>何桂玉</v>
      </c>
      <c r="E554" s="6" t="str">
        <f t="shared" si="21"/>
        <v>女</v>
      </c>
    </row>
    <row r="555" spans="1:5" ht="30" customHeight="1">
      <c r="A555" s="6">
        <v>553</v>
      </c>
      <c r="B555" s="6" t="str">
        <f>"299420210526153347107789"</f>
        <v>299420210526153347107789</v>
      </c>
      <c r="C555" s="6" t="s">
        <v>10</v>
      </c>
      <c r="D555" s="6" t="str">
        <f>"李时畅"</f>
        <v>李时畅</v>
      </c>
      <c r="E555" s="6" t="str">
        <f t="shared" si="21"/>
        <v>女</v>
      </c>
    </row>
    <row r="556" spans="1:5" ht="30" customHeight="1">
      <c r="A556" s="6">
        <v>554</v>
      </c>
      <c r="B556" s="6" t="str">
        <f>"299420210526153543107795"</f>
        <v>299420210526153543107795</v>
      </c>
      <c r="C556" s="6" t="s">
        <v>10</v>
      </c>
      <c r="D556" s="6" t="str">
        <f>"吉如科"</f>
        <v>吉如科</v>
      </c>
      <c r="E556" s="6" t="str">
        <f t="shared" si="21"/>
        <v>女</v>
      </c>
    </row>
    <row r="557" spans="1:5" ht="30" customHeight="1">
      <c r="A557" s="6">
        <v>555</v>
      </c>
      <c r="B557" s="6" t="str">
        <f>"299420210526155700107845"</f>
        <v>299420210526155700107845</v>
      </c>
      <c r="C557" s="6" t="s">
        <v>10</v>
      </c>
      <c r="D557" s="6" t="str">
        <f>"廖廷清"</f>
        <v>廖廷清</v>
      </c>
      <c r="E557" s="6" t="str">
        <f t="shared" si="21"/>
        <v>女</v>
      </c>
    </row>
    <row r="558" spans="1:5" ht="30" customHeight="1">
      <c r="A558" s="6">
        <v>556</v>
      </c>
      <c r="B558" s="6" t="str">
        <f>"299420210526164001107934"</f>
        <v>299420210526164001107934</v>
      </c>
      <c r="C558" s="6" t="s">
        <v>10</v>
      </c>
      <c r="D558" s="6" t="str">
        <f>"陈丽娇"</f>
        <v>陈丽娇</v>
      </c>
      <c r="E558" s="6" t="str">
        <f t="shared" si="21"/>
        <v>女</v>
      </c>
    </row>
    <row r="559" spans="1:5" ht="30" customHeight="1">
      <c r="A559" s="6">
        <v>557</v>
      </c>
      <c r="B559" s="6" t="str">
        <f>"299420210526165802107971"</f>
        <v>299420210526165802107971</v>
      </c>
      <c r="C559" s="6" t="s">
        <v>10</v>
      </c>
      <c r="D559" s="6" t="str">
        <f>"谢芳妍"</f>
        <v>谢芳妍</v>
      </c>
      <c r="E559" s="6" t="str">
        <f t="shared" si="21"/>
        <v>女</v>
      </c>
    </row>
    <row r="560" spans="1:5" ht="30" customHeight="1">
      <c r="A560" s="6">
        <v>558</v>
      </c>
      <c r="B560" s="6" t="str">
        <f>"299420210526171419107999"</f>
        <v>299420210526171419107999</v>
      </c>
      <c r="C560" s="6" t="s">
        <v>10</v>
      </c>
      <c r="D560" s="6" t="str">
        <f>"王善妃"</f>
        <v>王善妃</v>
      </c>
      <c r="E560" s="6" t="str">
        <f t="shared" si="21"/>
        <v>女</v>
      </c>
    </row>
    <row r="561" spans="1:5" ht="30" customHeight="1">
      <c r="A561" s="6">
        <v>559</v>
      </c>
      <c r="B561" s="6" t="str">
        <f>"299420210526172918108025"</f>
        <v>299420210526172918108025</v>
      </c>
      <c r="C561" s="6" t="s">
        <v>10</v>
      </c>
      <c r="D561" s="6" t="str">
        <f>"陈攀全"</f>
        <v>陈攀全</v>
      </c>
      <c r="E561" s="6" t="str">
        <f>"男"</f>
        <v>男</v>
      </c>
    </row>
    <row r="562" spans="1:5" ht="30" customHeight="1">
      <c r="A562" s="6">
        <v>560</v>
      </c>
      <c r="B562" s="6" t="str">
        <f>"299420210526181534108103"</f>
        <v>299420210526181534108103</v>
      </c>
      <c r="C562" s="6" t="s">
        <v>10</v>
      </c>
      <c r="D562" s="6" t="str">
        <f>"仝三岩"</f>
        <v>仝三岩</v>
      </c>
      <c r="E562" s="6" t="str">
        <f aca="true" t="shared" si="22" ref="E562:E576">"女"</f>
        <v>女</v>
      </c>
    </row>
    <row r="563" spans="1:5" ht="30" customHeight="1">
      <c r="A563" s="6">
        <v>561</v>
      </c>
      <c r="B563" s="6" t="str">
        <f>"299420210526184059108149"</f>
        <v>299420210526184059108149</v>
      </c>
      <c r="C563" s="6" t="s">
        <v>10</v>
      </c>
      <c r="D563" s="6" t="str">
        <f>"王冰"</f>
        <v>王冰</v>
      </c>
      <c r="E563" s="6" t="str">
        <f t="shared" si="22"/>
        <v>女</v>
      </c>
    </row>
    <row r="564" spans="1:5" ht="30" customHeight="1">
      <c r="A564" s="6">
        <v>562</v>
      </c>
      <c r="B564" s="6" t="str">
        <f>"299420210526194109108246"</f>
        <v>299420210526194109108246</v>
      </c>
      <c r="C564" s="6" t="s">
        <v>10</v>
      </c>
      <c r="D564" s="6" t="str">
        <f>"黎帝兰"</f>
        <v>黎帝兰</v>
      </c>
      <c r="E564" s="6" t="str">
        <f t="shared" si="22"/>
        <v>女</v>
      </c>
    </row>
    <row r="565" spans="1:5" ht="30" customHeight="1">
      <c r="A565" s="6">
        <v>563</v>
      </c>
      <c r="B565" s="6" t="str">
        <f>"299420210526200806108297"</f>
        <v>299420210526200806108297</v>
      </c>
      <c r="C565" s="6" t="s">
        <v>10</v>
      </c>
      <c r="D565" s="6" t="str">
        <f>"符磊"</f>
        <v>符磊</v>
      </c>
      <c r="E565" s="6" t="str">
        <f t="shared" si="22"/>
        <v>女</v>
      </c>
    </row>
    <row r="566" spans="1:5" ht="30" customHeight="1">
      <c r="A566" s="6">
        <v>564</v>
      </c>
      <c r="B566" s="6" t="str">
        <f>"299420210526201654108313"</f>
        <v>299420210526201654108313</v>
      </c>
      <c r="C566" s="6" t="s">
        <v>10</v>
      </c>
      <c r="D566" s="6" t="str">
        <f>"蔡盈盈"</f>
        <v>蔡盈盈</v>
      </c>
      <c r="E566" s="6" t="str">
        <f t="shared" si="22"/>
        <v>女</v>
      </c>
    </row>
    <row r="567" spans="1:5" ht="30" customHeight="1">
      <c r="A567" s="6">
        <v>565</v>
      </c>
      <c r="B567" s="6" t="str">
        <f>"299420210526212950108463"</f>
        <v>299420210526212950108463</v>
      </c>
      <c r="C567" s="6" t="s">
        <v>10</v>
      </c>
      <c r="D567" s="6" t="str">
        <f>"符衍婷"</f>
        <v>符衍婷</v>
      </c>
      <c r="E567" s="6" t="str">
        <f t="shared" si="22"/>
        <v>女</v>
      </c>
    </row>
    <row r="568" spans="1:5" ht="30" customHeight="1">
      <c r="A568" s="6">
        <v>566</v>
      </c>
      <c r="B568" s="6" t="str">
        <f>"299420210526222116108592"</f>
        <v>299420210526222116108592</v>
      </c>
      <c r="C568" s="6" t="s">
        <v>10</v>
      </c>
      <c r="D568" s="6" t="str">
        <f>"符津雨"</f>
        <v>符津雨</v>
      </c>
      <c r="E568" s="6" t="str">
        <f t="shared" si="22"/>
        <v>女</v>
      </c>
    </row>
    <row r="569" spans="1:5" ht="30" customHeight="1">
      <c r="A569" s="6">
        <v>567</v>
      </c>
      <c r="B569" s="6" t="str">
        <f>"299420210526231654108684"</f>
        <v>299420210526231654108684</v>
      </c>
      <c r="C569" s="6" t="s">
        <v>10</v>
      </c>
      <c r="D569" s="6" t="str">
        <f>"江丽静"</f>
        <v>江丽静</v>
      </c>
      <c r="E569" s="6" t="str">
        <f t="shared" si="22"/>
        <v>女</v>
      </c>
    </row>
    <row r="570" spans="1:5" ht="30" customHeight="1">
      <c r="A570" s="6">
        <v>568</v>
      </c>
      <c r="B570" s="6" t="str">
        <f>"299420210527002138108752"</f>
        <v>299420210527002138108752</v>
      </c>
      <c r="C570" s="6" t="s">
        <v>10</v>
      </c>
      <c r="D570" s="6" t="str">
        <f>"孔风曼"</f>
        <v>孔风曼</v>
      </c>
      <c r="E570" s="6" t="str">
        <f t="shared" si="22"/>
        <v>女</v>
      </c>
    </row>
    <row r="571" spans="1:5" ht="30" customHeight="1">
      <c r="A571" s="6">
        <v>569</v>
      </c>
      <c r="B571" s="6" t="str">
        <f>"299420210527071819108802"</f>
        <v>299420210527071819108802</v>
      </c>
      <c r="C571" s="6" t="s">
        <v>10</v>
      </c>
      <c r="D571" s="6" t="str">
        <f>"谭德娥"</f>
        <v>谭德娥</v>
      </c>
      <c r="E571" s="6" t="str">
        <f t="shared" si="22"/>
        <v>女</v>
      </c>
    </row>
    <row r="572" spans="1:5" ht="30" customHeight="1">
      <c r="A572" s="6">
        <v>570</v>
      </c>
      <c r="B572" s="6" t="str">
        <f>"299420210527075053108811"</f>
        <v>299420210527075053108811</v>
      </c>
      <c r="C572" s="6" t="s">
        <v>10</v>
      </c>
      <c r="D572" s="6" t="str">
        <f>"陈承凤"</f>
        <v>陈承凤</v>
      </c>
      <c r="E572" s="6" t="str">
        <f t="shared" si="22"/>
        <v>女</v>
      </c>
    </row>
    <row r="573" spans="1:5" ht="30" customHeight="1">
      <c r="A573" s="6">
        <v>571</v>
      </c>
      <c r="B573" s="6" t="str">
        <f>"299420210527082407108836"</f>
        <v>299420210527082407108836</v>
      </c>
      <c r="C573" s="6" t="s">
        <v>10</v>
      </c>
      <c r="D573" s="6" t="str">
        <f>"王祝精"</f>
        <v>王祝精</v>
      </c>
      <c r="E573" s="6" t="str">
        <f t="shared" si="22"/>
        <v>女</v>
      </c>
    </row>
    <row r="574" spans="1:5" ht="30" customHeight="1">
      <c r="A574" s="6">
        <v>572</v>
      </c>
      <c r="B574" s="6" t="str">
        <f>"299420210527084113108857"</f>
        <v>299420210527084113108857</v>
      </c>
      <c r="C574" s="6" t="s">
        <v>10</v>
      </c>
      <c r="D574" s="6" t="str">
        <f>"符爱孟"</f>
        <v>符爱孟</v>
      </c>
      <c r="E574" s="6" t="str">
        <f t="shared" si="22"/>
        <v>女</v>
      </c>
    </row>
    <row r="575" spans="1:5" ht="30" customHeight="1">
      <c r="A575" s="6">
        <v>573</v>
      </c>
      <c r="B575" s="6" t="str">
        <f>"299420210527100111108989"</f>
        <v>299420210527100111108989</v>
      </c>
      <c r="C575" s="6" t="s">
        <v>10</v>
      </c>
      <c r="D575" s="6" t="str">
        <f>"颜友曼"</f>
        <v>颜友曼</v>
      </c>
      <c r="E575" s="6" t="str">
        <f t="shared" si="22"/>
        <v>女</v>
      </c>
    </row>
    <row r="576" spans="1:5" ht="30" customHeight="1">
      <c r="A576" s="6">
        <v>574</v>
      </c>
      <c r="B576" s="6" t="str">
        <f>"299420210527103622109068"</f>
        <v>299420210527103622109068</v>
      </c>
      <c r="C576" s="6" t="s">
        <v>10</v>
      </c>
      <c r="D576" s="6" t="str">
        <f>"何吉花"</f>
        <v>何吉花</v>
      </c>
      <c r="E576" s="6" t="str">
        <f t="shared" si="22"/>
        <v>女</v>
      </c>
    </row>
    <row r="577" spans="1:5" ht="30" customHeight="1">
      <c r="A577" s="6">
        <v>575</v>
      </c>
      <c r="B577" s="6" t="str">
        <f>"299420210527112401109152"</f>
        <v>299420210527112401109152</v>
      </c>
      <c r="C577" s="6" t="s">
        <v>10</v>
      </c>
      <c r="D577" s="6" t="str">
        <f>"陈积常"</f>
        <v>陈积常</v>
      </c>
      <c r="E577" s="6" t="str">
        <f>"男"</f>
        <v>男</v>
      </c>
    </row>
    <row r="578" spans="1:5" ht="30" customHeight="1">
      <c r="A578" s="6">
        <v>576</v>
      </c>
      <c r="B578" s="6" t="str">
        <f>"299420210527145135109394"</f>
        <v>299420210527145135109394</v>
      </c>
      <c r="C578" s="6" t="s">
        <v>10</v>
      </c>
      <c r="D578" s="6" t="str">
        <f>"陈鹏"</f>
        <v>陈鹏</v>
      </c>
      <c r="E578" s="6" t="str">
        <f>"男"</f>
        <v>男</v>
      </c>
    </row>
    <row r="579" spans="1:5" ht="30" customHeight="1">
      <c r="A579" s="6">
        <v>577</v>
      </c>
      <c r="B579" s="6" t="str">
        <f>"299420210527160327109522"</f>
        <v>299420210527160327109522</v>
      </c>
      <c r="C579" s="6" t="s">
        <v>10</v>
      </c>
      <c r="D579" s="6" t="str">
        <f>"符永银"</f>
        <v>符永银</v>
      </c>
      <c r="E579" s="6" t="str">
        <f aca="true" t="shared" si="23" ref="E579:E585">"女"</f>
        <v>女</v>
      </c>
    </row>
    <row r="580" spans="1:5" ht="30" customHeight="1">
      <c r="A580" s="6">
        <v>578</v>
      </c>
      <c r="B580" s="6" t="str">
        <f>"299420210527160452109523"</f>
        <v>299420210527160452109523</v>
      </c>
      <c r="C580" s="6" t="s">
        <v>10</v>
      </c>
      <c r="D580" s="6" t="str">
        <f>"陆凌英"</f>
        <v>陆凌英</v>
      </c>
      <c r="E580" s="6" t="str">
        <f t="shared" si="23"/>
        <v>女</v>
      </c>
    </row>
    <row r="581" spans="1:5" ht="30" customHeight="1">
      <c r="A581" s="6">
        <v>579</v>
      </c>
      <c r="B581" s="6" t="str">
        <f>"299420210527161230109538"</f>
        <v>299420210527161230109538</v>
      </c>
      <c r="C581" s="6" t="s">
        <v>10</v>
      </c>
      <c r="D581" s="6" t="str">
        <f>"黄吉梅"</f>
        <v>黄吉梅</v>
      </c>
      <c r="E581" s="6" t="str">
        <f t="shared" si="23"/>
        <v>女</v>
      </c>
    </row>
    <row r="582" spans="1:5" ht="30" customHeight="1">
      <c r="A582" s="6">
        <v>580</v>
      </c>
      <c r="B582" s="6" t="str">
        <f>"299420210527163225109575"</f>
        <v>299420210527163225109575</v>
      </c>
      <c r="C582" s="6" t="s">
        <v>10</v>
      </c>
      <c r="D582" s="6" t="str">
        <f>"陶婷婷"</f>
        <v>陶婷婷</v>
      </c>
      <c r="E582" s="6" t="str">
        <f t="shared" si="23"/>
        <v>女</v>
      </c>
    </row>
    <row r="583" spans="1:5" ht="30" customHeight="1">
      <c r="A583" s="6">
        <v>581</v>
      </c>
      <c r="B583" s="6" t="str">
        <f>"299420210527184922109776"</f>
        <v>299420210527184922109776</v>
      </c>
      <c r="C583" s="6" t="s">
        <v>10</v>
      </c>
      <c r="D583" s="6" t="str">
        <f>"吴小红"</f>
        <v>吴小红</v>
      </c>
      <c r="E583" s="6" t="str">
        <f t="shared" si="23"/>
        <v>女</v>
      </c>
    </row>
    <row r="584" spans="1:5" ht="30" customHeight="1">
      <c r="A584" s="6">
        <v>582</v>
      </c>
      <c r="B584" s="6" t="str">
        <f>"299420210527191750109800"</f>
        <v>299420210527191750109800</v>
      </c>
      <c r="C584" s="6" t="s">
        <v>10</v>
      </c>
      <c r="D584" s="6" t="str">
        <f>"李丽梅"</f>
        <v>李丽梅</v>
      </c>
      <c r="E584" s="6" t="str">
        <f t="shared" si="23"/>
        <v>女</v>
      </c>
    </row>
    <row r="585" spans="1:5" ht="30" customHeight="1">
      <c r="A585" s="6">
        <v>583</v>
      </c>
      <c r="B585" s="6" t="str">
        <f>"299420210527192602109814"</f>
        <v>299420210527192602109814</v>
      </c>
      <c r="C585" s="6" t="s">
        <v>10</v>
      </c>
      <c r="D585" s="6" t="str">
        <f>"邓晓倩"</f>
        <v>邓晓倩</v>
      </c>
      <c r="E585" s="6" t="str">
        <f t="shared" si="23"/>
        <v>女</v>
      </c>
    </row>
    <row r="586" spans="1:5" ht="30" customHeight="1">
      <c r="A586" s="6">
        <v>584</v>
      </c>
      <c r="B586" s="6" t="str">
        <f>"299420210527200522109862"</f>
        <v>299420210527200522109862</v>
      </c>
      <c r="C586" s="6" t="s">
        <v>10</v>
      </c>
      <c r="D586" s="6" t="str">
        <f>"王壮"</f>
        <v>王壮</v>
      </c>
      <c r="E586" s="6" t="str">
        <f>"男"</f>
        <v>男</v>
      </c>
    </row>
    <row r="587" spans="1:5" ht="30" customHeight="1">
      <c r="A587" s="6">
        <v>585</v>
      </c>
      <c r="B587" s="6" t="str">
        <f>"299420210527203110109891"</f>
        <v>299420210527203110109891</v>
      </c>
      <c r="C587" s="6" t="s">
        <v>10</v>
      </c>
      <c r="D587" s="6" t="str">
        <f>"陈春羽"</f>
        <v>陈春羽</v>
      </c>
      <c r="E587" s="6" t="str">
        <f>"女"</f>
        <v>女</v>
      </c>
    </row>
    <row r="588" spans="1:5" ht="30" customHeight="1">
      <c r="A588" s="6">
        <v>586</v>
      </c>
      <c r="B588" s="6" t="str">
        <f>"299420210527225654110097"</f>
        <v>299420210527225654110097</v>
      </c>
      <c r="C588" s="6" t="s">
        <v>10</v>
      </c>
      <c r="D588" s="6" t="str">
        <f>"林福曲"</f>
        <v>林福曲</v>
      </c>
      <c r="E588" s="6" t="str">
        <f>"女"</f>
        <v>女</v>
      </c>
    </row>
    <row r="589" spans="1:5" ht="30" customHeight="1">
      <c r="A589" s="6">
        <v>587</v>
      </c>
      <c r="B589" s="6" t="str">
        <f>"299420210528085628110249"</f>
        <v>299420210528085628110249</v>
      </c>
      <c r="C589" s="6" t="s">
        <v>10</v>
      </c>
      <c r="D589" s="6" t="str">
        <f>"杨雅冰"</f>
        <v>杨雅冰</v>
      </c>
      <c r="E589" s="6" t="str">
        <f>"女"</f>
        <v>女</v>
      </c>
    </row>
    <row r="590" spans="1:5" ht="30" customHeight="1">
      <c r="A590" s="6">
        <v>588</v>
      </c>
      <c r="B590" s="6" t="str">
        <f>"299420210528085855110252"</f>
        <v>299420210528085855110252</v>
      </c>
      <c r="C590" s="6" t="s">
        <v>10</v>
      </c>
      <c r="D590" s="6" t="str">
        <f>"陈东霞"</f>
        <v>陈东霞</v>
      </c>
      <c r="E590" s="6" t="str">
        <f>"女"</f>
        <v>女</v>
      </c>
    </row>
    <row r="591" spans="1:5" ht="30" customHeight="1">
      <c r="A591" s="6">
        <v>589</v>
      </c>
      <c r="B591" s="6" t="str">
        <f>"299420210528092239110291"</f>
        <v>299420210528092239110291</v>
      </c>
      <c r="C591" s="6" t="s">
        <v>10</v>
      </c>
      <c r="D591" s="6" t="str">
        <f>"黄立娇"</f>
        <v>黄立娇</v>
      </c>
      <c r="E591" s="6" t="str">
        <f>"女"</f>
        <v>女</v>
      </c>
    </row>
    <row r="592" spans="1:5" ht="30" customHeight="1">
      <c r="A592" s="6">
        <v>590</v>
      </c>
      <c r="B592" s="6" t="str">
        <f>"299420210528095646110358"</f>
        <v>299420210528095646110358</v>
      </c>
      <c r="C592" s="6" t="s">
        <v>10</v>
      </c>
      <c r="D592" s="6" t="str">
        <f>"黎博典"</f>
        <v>黎博典</v>
      </c>
      <c r="E592" s="6" t="str">
        <f>"男"</f>
        <v>男</v>
      </c>
    </row>
    <row r="593" spans="1:5" ht="30" customHeight="1">
      <c r="A593" s="6">
        <v>591</v>
      </c>
      <c r="B593" s="6" t="str">
        <f>"299420210528112232110516"</f>
        <v>299420210528112232110516</v>
      </c>
      <c r="C593" s="6" t="s">
        <v>10</v>
      </c>
      <c r="D593" s="6" t="str">
        <f>"陈歆馨"</f>
        <v>陈歆馨</v>
      </c>
      <c r="E593" s="6" t="str">
        <f aca="true" t="shared" si="24" ref="E593:E602">"女"</f>
        <v>女</v>
      </c>
    </row>
    <row r="594" spans="1:5" ht="30" customHeight="1">
      <c r="A594" s="6">
        <v>592</v>
      </c>
      <c r="B594" s="6" t="str">
        <f>"299420210528112556110520"</f>
        <v>299420210528112556110520</v>
      </c>
      <c r="C594" s="6" t="s">
        <v>10</v>
      </c>
      <c r="D594" s="6" t="str">
        <f>"洪艳艳"</f>
        <v>洪艳艳</v>
      </c>
      <c r="E594" s="6" t="str">
        <f t="shared" si="24"/>
        <v>女</v>
      </c>
    </row>
    <row r="595" spans="1:5" ht="30" customHeight="1">
      <c r="A595" s="6">
        <v>593</v>
      </c>
      <c r="B595" s="6" t="str">
        <f>"299420210528112839110523"</f>
        <v>299420210528112839110523</v>
      </c>
      <c r="C595" s="6" t="s">
        <v>10</v>
      </c>
      <c r="D595" s="6" t="str">
        <f>"许世桃"</f>
        <v>许世桃</v>
      </c>
      <c r="E595" s="6" t="str">
        <f t="shared" si="24"/>
        <v>女</v>
      </c>
    </row>
    <row r="596" spans="1:5" ht="30" customHeight="1">
      <c r="A596" s="6">
        <v>594</v>
      </c>
      <c r="B596" s="6" t="str">
        <f>"299420210528115528110562"</f>
        <v>299420210528115528110562</v>
      </c>
      <c r="C596" s="6" t="s">
        <v>10</v>
      </c>
      <c r="D596" s="6" t="str">
        <f>"王凤珍"</f>
        <v>王凤珍</v>
      </c>
      <c r="E596" s="6" t="str">
        <f t="shared" si="24"/>
        <v>女</v>
      </c>
    </row>
    <row r="597" spans="1:5" ht="30" customHeight="1">
      <c r="A597" s="6">
        <v>595</v>
      </c>
      <c r="B597" s="6" t="str">
        <f>"299420210528132448110691"</f>
        <v>299420210528132448110691</v>
      </c>
      <c r="C597" s="6" t="s">
        <v>10</v>
      </c>
      <c r="D597" s="6" t="str">
        <f>"王文明"</f>
        <v>王文明</v>
      </c>
      <c r="E597" s="6" t="str">
        <f t="shared" si="24"/>
        <v>女</v>
      </c>
    </row>
    <row r="598" spans="1:5" ht="30" customHeight="1">
      <c r="A598" s="6">
        <v>596</v>
      </c>
      <c r="B598" s="6" t="str">
        <f>"299420210528151550110834"</f>
        <v>299420210528151550110834</v>
      </c>
      <c r="C598" s="6" t="s">
        <v>10</v>
      </c>
      <c r="D598" s="6" t="str">
        <f>"毕晓飞"</f>
        <v>毕晓飞</v>
      </c>
      <c r="E598" s="6" t="str">
        <f t="shared" si="24"/>
        <v>女</v>
      </c>
    </row>
    <row r="599" spans="1:5" ht="30" customHeight="1">
      <c r="A599" s="6">
        <v>597</v>
      </c>
      <c r="B599" s="6" t="str">
        <f>"299420210528151825110841"</f>
        <v>299420210528151825110841</v>
      </c>
      <c r="C599" s="6" t="s">
        <v>10</v>
      </c>
      <c r="D599" s="6" t="str">
        <f>"钟小雪"</f>
        <v>钟小雪</v>
      </c>
      <c r="E599" s="6" t="str">
        <f t="shared" si="24"/>
        <v>女</v>
      </c>
    </row>
    <row r="600" spans="1:5" ht="30" customHeight="1">
      <c r="A600" s="6">
        <v>598</v>
      </c>
      <c r="B600" s="6" t="str">
        <f>"299420210528151833110842"</f>
        <v>299420210528151833110842</v>
      </c>
      <c r="C600" s="6" t="s">
        <v>10</v>
      </c>
      <c r="D600" s="6" t="str">
        <f>"张丹丹"</f>
        <v>张丹丹</v>
      </c>
      <c r="E600" s="6" t="str">
        <f t="shared" si="24"/>
        <v>女</v>
      </c>
    </row>
    <row r="601" spans="1:5" ht="30" customHeight="1">
      <c r="A601" s="6">
        <v>599</v>
      </c>
      <c r="B601" s="6" t="str">
        <f>"299420210528162125110932"</f>
        <v>299420210528162125110932</v>
      </c>
      <c r="C601" s="6" t="s">
        <v>10</v>
      </c>
      <c r="D601" s="6" t="str">
        <f>"崔庭兰"</f>
        <v>崔庭兰</v>
      </c>
      <c r="E601" s="6" t="str">
        <f t="shared" si="24"/>
        <v>女</v>
      </c>
    </row>
    <row r="602" spans="1:5" ht="30" customHeight="1">
      <c r="A602" s="6">
        <v>600</v>
      </c>
      <c r="B602" s="6" t="str">
        <f>"299420210528162738110937"</f>
        <v>299420210528162738110937</v>
      </c>
      <c r="C602" s="6" t="s">
        <v>10</v>
      </c>
      <c r="D602" s="6" t="str">
        <f>"陈世礼"</f>
        <v>陈世礼</v>
      </c>
      <c r="E602" s="6" t="str">
        <f t="shared" si="24"/>
        <v>女</v>
      </c>
    </row>
    <row r="603" spans="1:5" ht="30" customHeight="1">
      <c r="A603" s="6">
        <v>601</v>
      </c>
      <c r="B603" s="6" t="str">
        <f>"299420210528165344110982"</f>
        <v>299420210528165344110982</v>
      </c>
      <c r="C603" s="6" t="s">
        <v>10</v>
      </c>
      <c r="D603" s="6" t="str">
        <f>"陈玉富"</f>
        <v>陈玉富</v>
      </c>
      <c r="E603" s="6" t="str">
        <f>"男"</f>
        <v>男</v>
      </c>
    </row>
    <row r="604" spans="1:5" ht="30" customHeight="1">
      <c r="A604" s="6">
        <v>602</v>
      </c>
      <c r="B604" s="6" t="str">
        <f>"299420210528175452111064"</f>
        <v>299420210528175452111064</v>
      </c>
      <c r="C604" s="6" t="s">
        <v>10</v>
      </c>
      <c r="D604" s="6" t="str">
        <f>"李如桂"</f>
        <v>李如桂</v>
      </c>
      <c r="E604" s="6" t="str">
        <f aca="true" t="shared" si="25" ref="E604:E610">"女"</f>
        <v>女</v>
      </c>
    </row>
    <row r="605" spans="1:5" ht="30" customHeight="1">
      <c r="A605" s="6">
        <v>603</v>
      </c>
      <c r="B605" s="6" t="str">
        <f>"299420210528213744111268"</f>
        <v>299420210528213744111268</v>
      </c>
      <c r="C605" s="6" t="s">
        <v>10</v>
      </c>
      <c r="D605" s="6" t="str">
        <f>"吴柳"</f>
        <v>吴柳</v>
      </c>
      <c r="E605" s="6" t="str">
        <f t="shared" si="25"/>
        <v>女</v>
      </c>
    </row>
    <row r="606" spans="1:5" ht="30" customHeight="1">
      <c r="A606" s="6">
        <v>604</v>
      </c>
      <c r="B606" s="6" t="str">
        <f>"299420210528223101111318"</f>
        <v>299420210528223101111318</v>
      </c>
      <c r="C606" s="6" t="s">
        <v>10</v>
      </c>
      <c r="D606" s="6" t="str">
        <f>"刘慧琴"</f>
        <v>刘慧琴</v>
      </c>
      <c r="E606" s="6" t="str">
        <f t="shared" si="25"/>
        <v>女</v>
      </c>
    </row>
    <row r="607" spans="1:5" ht="30" customHeight="1">
      <c r="A607" s="6">
        <v>605</v>
      </c>
      <c r="B607" s="6" t="str">
        <f>"299420210528234750111370"</f>
        <v>299420210528234750111370</v>
      </c>
      <c r="C607" s="6" t="s">
        <v>10</v>
      </c>
      <c r="D607" s="6" t="str">
        <f>"郭江霞"</f>
        <v>郭江霞</v>
      </c>
      <c r="E607" s="6" t="str">
        <f t="shared" si="25"/>
        <v>女</v>
      </c>
    </row>
    <row r="608" spans="1:5" ht="30" customHeight="1">
      <c r="A608" s="6">
        <v>606</v>
      </c>
      <c r="B608" s="6" t="str">
        <f>"299420210528235938111379"</f>
        <v>299420210528235938111379</v>
      </c>
      <c r="C608" s="6" t="s">
        <v>10</v>
      </c>
      <c r="D608" s="6" t="str">
        <f>"王雅游"</f>
        <v>王雅游</v>
      </c>
      <c r="E608" s="6" t="str">
        <f t="shared" si="25"/>
        <v>女</v>
      </c>
    </row>
    <row r="609" spans="1:5" ht="30" customHeight="1">
      <c r="A609" s="6">
        <v>607</v>
      </c>
      <c r="B609" s="6" t="str">
        <f>"299420210529132045111644"</f>
        <v>299420210529132045111644</v>
      </c>
      <c r="C609" s="6" t="s">
        <v>10</v>
      </c>
      <c r="D609" s="6" t="str">
        <f>"刘欢"</f>
        <v>刘欢</v>
      </c>
      <c r="E609" s="6" t="str">
        <f t="shared" si="25"/>
        <v>女</v>
      </c>
    </row>
    <row r="610" spans="1:5" ht="30" customHeight="1">
      <c r="A610" s="6">
        <v>608</v>
      </c>
      <c r="B610" s="6" t="str">
        <f>"299420210529144605111687"</f>
        <v>299420210529144605111687</v>
      </c>
      <c r="C610" s="6" t="s">
        <v>10</v>
      </c>
      <c r="D610" s="6" t="str">
        <f>"郑远霞"</f>
        <v>郑远霞</v>
      </c>
      <c r="E610" s="6" t="str">
        <f t="shared" si="25"/>
        <v>女</v>
      </c>
    </row>
    <row r="611" spans="1:5" ht="30" customHeight="1">
      <c r="A611" s="6">
        <v>609</v>
      </c>
      <c r="B611" s="6" t="str">
        <f>"299420210529162733111749"</f>
        <v>299420210529162733111749</v>
      </c>
      <c r="C611" s="6" t="s">
        <v>10</v>
      </c>
      <c r="D611" s="6" t="str">
        <f>"伍理权"</f>
        <v>伍理权</v>
      </c>
      <c r="E611" s="6" t="str">
        <f>"男"</f>
        <v>男</v>
      </c>
    </row>
    <row r="612" spans="1:5" ht="30" customHeight="1">
      <c r="A612" s="6">
        <v>610</v>
      </c>
      <c r="B612" s="6" t="str">
        <f>"299420210529185919111836"</f>
        <v>299420210529185919111836</v>
      </c>
      <c r="C612" s="6" t="s">
        <v>10</v>
      </c>
      <c r="D612" s="6" t="str">
        <f>"麦慧霞"</f>
        <v>麦慧霞</v>
      </c>
      <c r="E612" s="6" t="str">
        <f>"女"</f>
        <v>女</v>
      </c>
    </row>
    <row r="613" spans="1:5" ht="30" customHeight="1">
      <c r="A613" s="6">
        <v>611</v>
      </c>
      <c r="B613" s="6" t="str">
        <f>"299420210529210131111893"</f>
        <v>299420210529210131111893</v>
      </c>
      <c r="C613" s="6" t="s">
        <v>10</v>
      </c>
      <c r="D613" s="6" t="str">
        <f>"周德文"</f>
        <v>周德文</v>
      </c>
      <c r="E613" s="6" t="str">
        <f>"男"</f>
        <v>男</v>
      </c>
    </row>
    <row r="614" spans="1:5" ht="30" customHeight="1">
      <c r="A614" s="6">
        <v>612</v>
      </c>
      <c r="B614" s="6" t="str">
        <f>"299420210529230246111991"</f>
        <v>299420210529230246111991</v>
      </c>
      <c r="C614" s="6" t="s">
        <v>10</v>
      </c>
      <c r="D614" s="6" t="str">
        <f>"黄英"</f>
        <v>黄英</v>
      </c>
      <c r="E614" s="6" t="str">
        <f>"女"</f>
        <v>女</v>
      </c>
    </row>
    <row r="615" spans="1:5" ht="30" customHeight="1">
      <c r="A615" s="6">
        <v>613</v>
      </c>
      <c r="B615" s="6" t="str">
        <f>"299420210530104032112167"</f>
        <v>299420210530104032112167</v>
      </c>
      <c r="C615" s="6" t="s">
        <v>10</v>
      </c>
      <c r="D615" s="6" t="str">
        <f>"卢海能"</f>
        <v>卢海能</v>
      </c>
      <c r="E615" s="6" t="str">
        <f>"男"</f>
        <v>男</v>
      </c>
    </row>
    <row r="616" spans="1:5" ht="30" customHeight="1">
      <c r="A616" s="6">
        <v>614</v>
      </c>
      <c r="B616" s="6" t="str">
        <f>"299420210530121526112250"</f>
        <v>299420210530121526112250</v>
      </c>
      <c r="C616" s="6" t="s">
        <v>10</v>
      </c>
      <c r="D616" s="6" t="str">
        <f>"杨顺"</f>
        <v>杨顺</v>
      </c>
      <c r="E616" s="6" t="str">
        <f>"男"</f>
        <v>男</v>
      </c>
    </row>
    <row r="617" spans="1:5" ht="30" customHeight="1">
      <c r="A617" s="6">
        <v>615</v>
      </c>
      <c r="B617" s="6" t="str">
        <f>"299420210530125130112284"</f>
        <v>299420210530125130112284</v>
      </c>
      <c r="C617" s="6" t="s">
        <v>10</v>
      </c>
      <c r="D617" s="6" t="str">
        <f>"黄丝丽"</f>
        <v>黄丝丽</v>
      </c>
      <c r="E617" s="6" t="str">
        <f aca="true" t="shared" si="26" ref="E617:E675">"女"</f>
        <v>女</v>
      </c>
    </row>
    <row r="618" spans="1:5" ht="30" customHeight="1">
      <c r="A618" s="6">
        <v>616</v>
      </c>
      <c r="B618" s="6" t="str">
        <f>"299420210530175709112484"</f>
        <v>299420210530175709112484</v>
      </c>
      <c r="C618" s="6" t="s">
        <v>10</v>
      </c>
      <c r="D618" s="6" t="str">
        <f>"谢宗胶"</f>
        <v>谢宗胶</v>
      </c>
      <c r="E618" s="6" t="str">
        <f t="shared" si="26"/>
        <v>女</v>
      </c>
    </row>
    <row r="619" spans="1:5" ht="30" customHeight="1">
      <c r="A619" s="6">
        <v>617</v>
      </c>
      <c r="B619" s="6" t="str">
        <f>"299420210530195939112582"</f>
        <v>299420210530195939112582</v>
      </c>
      <c r="C619" s="6" t="s">
        <v>10</v>
      </c>
      <c r="D619" s="6" t="str">
        <f>"李蔷"</f>
        <v>李蔷</v>
      </c>
      <c r="E619" s="6" t="str">
        <f t="shared" si="26"/>
        <v>女</v>
      </c>
    </row>
    <row r="620" spans="1:5" ht="30" customHeight="1">
      <c r="A620" s="6">
        <v>618</v>
      </c>
      <c r="B620" s="6" t="str">
        <f>"299420210530222339112768"</f>
        <v>299420210530222339112768</v>
      </c>
      <c r="C620" s="6" t="s">
        <v>10</v>
      </c>
      <c r="D620" s="6" t="str">
        <f>"何振柳"</f>
        <v>何振柳</v>
      </c>
      <c r="E620" s="6" t="str">
        <f t="shared" si="26"/>
        <v>女</v>
      </c>
    </row>
    <row r="621" spans="1:5" ht="30" customHeight="1">
      <c r="A621" s="6">
        <v>619</v>
      </c>
      <c r="B621" s="6" t="str">
        <f>"299420210530223138112772"</f>
        <v>299420210530223138112772</v>
      </c>
      <c r="C621" s="6" t="s">
        <v>10</v>
      </c>
      <c r="D621" s="6" t="str">
        <f>"刘夏"</f>
        <v>刘夏</v>
      </c>
      <c r="E621" s="6" t="str">
        <f t="shared" si="26"/>
        <v>女</v>
      </c>
    </row>
    <row r="622" spans="1:5" ht="30" customHeight="1">
      <c r="A622" s="6">
        <v>620</v>
      </c>
      <c r="B622" s="6" t="str">
        <f>"299420210531075751112938"</f>
        <v>299420210531075751112938</v>
      </c>
      <c r="C622" s="6" t="s">
        <v>10</v>
      </c>
      <c r="D622" s="6" t="str">
        <f>"符夏秋"</f>
        <v>符夏秋</v>
      </c>
      <c r="E622" s="6" t="str">
        <f t="shared" si="26"/>
        <v>女</v>
      </c>
    </row>
    <row r="623" spans="1:5" ht="30" customHeight="1">
      <c r="A623" s="6">
        <v>621</v>
      </c>
      <c r="B623" s="6" t="str">
        <f>"299420210531085058112980"</f>
        <v>299420210531085058112980</v>
      </c>
      <c r="C623" s="6" t="s">
        <v>10</v>
      </c>
      <c r="D623" s="6" t="str">
        <f>"林雪容"</f>
        <v>林雪容</v>
      </c>
      <c r="E623" s="6" t="str">
        <f t="shared" si="26"/>
        <v>女</v>
      </c>
    </row>
    <row r="624" spans="1:5" ht="30" customHeight="1">
      <c r="A624" s="6">
        <v>622</v>
      </c>
      <c r="B624" s="6" t="str">
        <f>"299420210531085749112990"</f>
        <v>299420210531085749112990</v>
      </c>
      <c r="C624" s="6" t="s">
        <v>10</v>
      </c>
      <c r="D624" s="6" t="str">
        <f>"孙转"</f>
        <v>孙转</v>
      </c>
      <c r="E624" s="6" t="str">
        <f t="shared" si="26"/>
        <v>女</v>
      </c>
    </row>
    <row r="625" spans="1:5" ht="30" customHeight="1">
      <c r="A625" s="6">
        <v>623</v>
      </c>
      <c r="B625" s="6" t="str">
        <f>"299420210531091917113018"</f>
        <v>299420210531091917113018</v>
      </c>
      <c r="C625" s="6" t="s">
        <v>10</v>
      </c>
      <c r="D625" s="6" t="str">
        <f>"符连于"</f>
        <v>符连于</v>
      </c>
      <c r="E625" s="6" t="str">
        <f t="shared" si="26"/>
        <v>女</v>
      </c>
    </row>
    <row r="626" spans="1:5" ht="30" customHeight="1">
      <c r="A626" s="6">
        <v>624</v>
      </c>
      <c r="B626" s="6" t="str">
        <f>"299420210531094902113086"</f>
        <v>299420210531094902113086</v>
      </c>
      <c r="C626" s="6" t="s">
        <v>10</v>
      </c>
      <c r="D626" s="6" t="str">
        <f>"蔡倩瑜"</f>
        <v>蔡倩瑜</v>
      </c>
      <c r="E626" s="6" t="str">
        <f t="shared" si="26"/>
        <v>女</v>
      </c>
    </row>
    <row r="627" spans="1:5" ht="30" customHeight="1">
      <c r="A627" s="6">
        <v>625</v>
      </c>
      <c r="B627" s="6" t="str">
        <f>"299420210531100935113121"</f>
        <v>299420210531100935113121</v>
      </c>
      <c r="C627" s="6" t="s">
        <v>10</v>
      </c>
      <c r="D627" s="6" t="str">
        <f>"娄梦梦"</f>
        <v>娄梦梦</v>
      </c>
      <c r="E627" s="6" t="str">
        <f t="shared" si="26"/>
        <v>女</v>
      </c>
    </row>
    <row r="628" spans="1:5" ht="30" customHeight="1">
      <c r="A628" s="6">
        <v>626</v>
      </c>
      <c r="B628" s="6" t="str">
        <f>"299420210531160908113642"</f>
        <v>299420210531160908113642</v>
      </c>
      <c r="C628" s="6" t="s">
        <v>10</v>
      </c>
      <c r="D628" s="6" t="str">
        <f>"戴维"</f>
        <v>戴维</v>
      </c>
      <c r="E628" s="6" t="str">
        <f t="shared" si="26"/>
        <v>女</v>
      </c>
    </row>
    <row r="629" spans="1:5" ht="30" customHeight="1">
      <c r="A629" s="6">
        <v>627</v>
      </c>
      <c r="B629" s="6" t="str">
        <f>"299420210525090507104274"</f>
        <v>299420210525090507104274</v>
      </c>
      <c r="C629" s="6" t="s">
        <v>11</v>
      </c>
      <c r="D629" s="6" t="str">
        <f>"吴良威"</f>
        <v>吴良威</v>
      </c>
      <c r="E629" s="6" t="str">
        <f t="shared" si="26"/>
        <v>女</v>
      </c>
    </row>
    <row r="630" spans="1:5" ht="30" customHeight="1">
      <c r="A630" s="6">
        <v>628</v>
      </c>
      <c r="B630" s="6" t="str">
        <f>"299420210525101540104687"</f>
        <v>299420210525101540104687</v>
      </c>
      <c r="C630" s="6" t="s">
        <v>11</v>
      </c>
      <c r="D630" s="6" t="str">
        <f>"刘佳文"</f>
        <v>刘佳文</v>
      </c>
      <c r="E630" s="6" t="str">
        <f t="shared" si="26"/>
        <v>女</v>
      </c>
    </row>
    <row r="631" spans="1:5" ht="30" customHeight="1">
      <c r="A631" s="6">
        <v>629</v>
      </c>
      <c r="B631" s="6" t="str">
        <f>"299420210525102345104743"</f>
        <v>299420210525102345104743</v>
      </c>
      <c r="C631" s="6" t="s">
        <v>11</v>
      </c>
      <c r="D631" s="6" t="str">
        <f>"张火兰"</f>
        <v>张火兰</v>
      </c>
      <c r="E631" s="6" t="str">
        <f t="shared" si="26"/>
        <v>女</v>
      </c>
    </row>
    <row r="632" spans="1:5" ht="30" customHeight="1">
      <c r="A632" s="6">
        <v>630</v>
      </c>
      <c r="B632" s="6" t="str">
        <f>"299420210525103022104791"</f>
        <v>299420210525103022104791</v>
      </c>
      <c r="C632" s="6" t="s">
        <v>11</v>
      </c>
      <c r="D632" s="6" t="str">
        <f>"符克泥"</f>
        <v>符克泥</v>
      </c>
      <c r="E632" s="6" t="str">
        <f t="shared" si="26"/>
        <v>女</v>
      </c>
    </row>
    <row r="633" spans="1:5" ht="30" customHeight="1">
      <c r="A633" s="6">
        <v>631</v>
      </c>
      <c r="B633" s="6" t="str">
        <f>"299420210525104641104895"</f>
        <v>299420210525104641104895</v>
      </c>
      <c r="C633" s="6" t="s">
        <v>11</v>
      </c>
      <c r="D633" s="6" t="str">
        <f>"曾媛"</f>
        <v>曾媛</v>
      </c>
      <c r="E633" s="6" t="str">
        <f t="shared" si="26"/>
        <v>女</v>
      </c>
    </row>
    <row r="634" spans="1:5" ht="30" customHeight="1">
      <c r="A634" s="6">
        <v>632</v>
      </c>
      <c r="B634" s="6" t="str">
        <f>"299420210525105017104919"</f>
        <v>299420210525105017104919</v>
      </c>
      <c r="C634" s="6" t="s">
        <v>11</v>
      </c>
      <c r="D634" s="6" t="str">
        <f>"符乃娟"</f>
        <v>符乃娟</v>
      </c>
      <c r="E634" s="6" t="str">
        <f t="shared" si="26"/>
        <v>女</v>
      </c>
    </row>
    <row r="635" spans="1:5" ht="30" customHeight="1">
      <c r="A635" s="6">
        <v>633</v>
      </c>
      <c r="B635" s="6" t="str">
        <f>"299420210525105442104941"</f>
        <v>299420210525105442104941</v>
      </c>
      <c r="C635" s="6" t="s">
        <v>11</v>
      </c>
      <c r="D635" s="6" t="str">
        <f>"何春霞"</f>
        <v>何春霞</v>
      </c>
      <c r="E635" s="6" t="str">
        <f t="shared" si="26"/>
        <v>女</v>
      </c>
    </row>
    <row r="636" spans="1:5" ht="30" customHeight="1">
      <c r="A636" s="6">
        <v>634</v>
      </c>
      <c r="B636" s="6" t="str">
        <f>"299420210525135110105535"</f>
        <v>299420210525135110105535</v>
      </c>
      <c r="C636" s="6" t="s">
        <v>11</v>
      </c>
      <c r="D636" s="6" t="str">
        <f>"林敏姗"</f>
        <v>林敏姗</v>
      </c>
      <c r="E636" s="6" t="str">
        <f t="shared" si="26"/>
        <v>女</v>
      </c>
    </row>
    <row r="637" spans="1:5" ht="30" customHeight="1">
      <c r="A637" s="6">
        <v>635</v>
      </c>
      <c r="B637" s="6" t="str">
        <f>"299420210525153342105760"</f>
        <v>299420210525153342105760</v>
      </c>
      <c r="C637" s="6" t="s">
        <v>11</v>
      </c>
      <c r="D637" s="6" t="str">
        <f>"苏时叶"</f>
        <v>苏时叶</v>
      </c>
      <c r="E637" s="6" t="str">
        <f t="shared" si="26"/>
        <v>女</v>
      </c>
    </row>
    <row r="638" spans="1:5" ht="30" customHeight="1">
      <c r="A638" s="6">
        <v>636</v>
      </c>
      <c r="B638" s="6" t="str">
        <f>"299420210525153722105772"</f>
        <v>299420210525153722105772</v>
      </c>
      <c r="C638" s="6" t="s">
        <v>11</v>
      </c>
      <c r="D638" s="6" t="str">
        <f>"李红霞"</f>
        <v>李红霞</v>
      </c>
      <c r="E638" s="6" t="str">
        <f t="shared" si="26"/>
        <v>女</v>
      </c>
    </row>
    <row r="639" spans="1:5" ht="30" customHeight="1">
      <c r="A639" s="6">
        <v>637</v>
      </c>
      <c r="B639" s="6" t="str">
        <f>"299420210525155300105829"</f>
        <v>299420210525155300105829</v>
      </c>
      <c r="C639" s="6" t="s">
        <v>11</v>
      </c>
      <c r="D639" s="6" t="str">
        <f>"吴和洁"</f>
        <v>吴和洁</v>
      </c>
      <c r="E639" s="6" t="str">
        <f t="shared" si="26"/>
        <v>女</v>
      </c>
    </row>
    <row r="640" spans="1:5" ht="30" customHeight="1">
      <c r="A640" s="6">
        <v>638</v>
      </c>
      <c r="B640" s="6" t="str">
        <f>"299420210525155614105835"</f>
        <v>299420210525155614105835</v>
      </c>
      <c r="C640" s="6" t="s">
        <v>11</v>
      </c>
      <c r="D640" s="6" t="str">
        <f>"吴多嫩"</f>
        <v>吴多嫩</v>
      </c>
      <c r="E640" s="6" t="str">
        <f t="shared" si="26"/>
        <v>女</v>
      </c>
    </row>
    <row r="641" spans="1:5" ht="30" customHeight="1">
      <c r="A641" s="6">
        <v>639</v>
      </c>
      <c r="B641" s="6" t="str">
        <f>"299420210525162542105921"</f>
        <v>299420210525162542105921</v>
      </c>
      <c r="C641" s="6" t="s">
        <v>11</v>
      </c>
      <c r="D641" s="6" t="str">
        <f>"王和姑"</f>
        <v>王和姑</v>
      </c>
      <c r="E641" s="6" t="str">
        <f t="shared" si="26"/>
        <v>女</v>
      </c>
    </row>
    <row r="642" spans="1:5" ht="30" customHeight="1">
      <c r="A642" s="6">
        <v>640</v>
      </c>
      <c r="B642" s="6" t="str">
        <f>"299420210525163452105946"</f>
        <v>299420210525163452105946</v>
      </c>
      <c r="C642" s="6" t="s">
        <v>11</v>
      </c>
      <c r="D642" s="6" t="str">
        <f>"温曼瑜"</f>
        <v>温曼瑜</v>
      </c>
      <c r="E642" s="6" t="str">
        <f t="shared" si="26"/>
        <v>女</v>
      </c>
    </row>
    <row r="643" spans="1:5" ht="30" customHeight="1">
      <c r="A643" s="6">
        <v>641</v>
      </c>
      <c r="B643" s="6" t="str">
        <f>"299420210525165835106012"</f>
        <v>299420210525165835106012</v>
      </c>
      <c r="C643" s="6" t="s">
        <v>11</v>
      </c>
      <c r="D643" s="6" t="str">
        <f>"陈三妹"</f>
        <v>陈三妹</v>
      </c>
      <c r="E643" s="6" t="str">
        <f t="shared" si="26"/>
        <v>女</v>
      </c>
    </row>
    <row r="644" spans="1:5" ht="30" customHeight="1">
      <c r="A644" s="6">
        <v>642</v>
      </c>
      <c r="B644" s="6" t="str">
        <f>"299420210525195817106418"</f>
        <v>299420210525195817106418</v>
      </c>
      <c r="C644" s="6" t="s">
        <v>11</v>
      </c>
      <c r="D644" s="6" t="str">
        <f>"蔡程冰"</f>
        <v>蔡程冰</v>
      </c>
      <c r="E644" s="6" t="str">
        <f t="shared" si="26"/>
        <v>女</v>
      </c>
    </row>
    <row r="645" spans="1:5" ht="30" customHeight="1">
      <c r="A645" s="6">
        <v>643</v>
      </c>
      <c r="B645" s="6" t="str">
        <f>"299420210525201726106454"</f>
        <v>299420210525201726106454</v>
      </c>
      <c r="C645" s="6" t="s">
        <v>11</v>
      </c>
      <c r="D645" s="6" t="str">
        <f>"王爱昀"</f>
        <v>王爱昀</v>
      </c>
      <c r="E645" s="6" t="str">
        <f t="shared" si="26"/>
        <v>女</v>
      </c>
    </row>
    <row r="646" spans="1:5" ht="30" customHeight="1">
      <c r="A646" s="6">
        <v>644</v>
      </c>
      <c r="B646" s="6" t="str">
        <f>"299420210525202915106490"</f>
        <v>299420210525202915106490</v>
      </c>
      <c r="C646" s="6" t="s">
        <v>11</v>
      </c>
      <c r="D646" s="6" t="str">
        <f>"苏小会"</f>
        <v>苏小会</v>
      </c>
      <c r="E646" s="6" t="str">
        <f t="shared" si="26"/>
        <v>女</v>
      </c>
    </row>
    <row r="647" spans="1:5" ht="30" customHeight="1">
      <c r="A647" s="6">
        <v>645</v>
      </c>
      <c r="B647" s="6" t="str">
        <f>"299420210525225301106809"</f>
        <v>299420210525225301106809</v>
      </c>
      <c r="C647" s="6" t="s">
        <v>11</v>
      </c>
      <c r="D647" s="6" t="str">
        <f>"毛韩瑶"</f>
        <v>毛韩瑶</v>
      </c>
      <c r="E647" s="6" t="str">
        <f t="shared" si="26"/>
        <v>女</v>
      </c>
    </row>
    <row r="648" spans="1:5" ht="30" customHeight="1">
      <c r="A648" s="6">
        <v>646</v>
      </c>
      <c r="B648" s="6" t="str">
        <f>"299420210526083207107013"</f>
        <v>299420210526083207107013</v>
      </c>
      <c r="C648" s="6" t="s">
        <v>11</v>
      </c>
      <c r="D648" s="6" t="str">
        <f>"戴华楠"</f>
        <v>戴华楠</v>
      </c>
      <c r="E648" s="6" t="str">
        <f t="shared" si="26"/>
        <v>女</v>
      </c>
    </row>
    <row r="649" spans="1:5" ht="30" customHeight="1">
      <c r="A649" s="6">
        <v>647</v>
      </c>
      <c r="B649" s="6" t="str">
        <f>"299420210526104254107310"</f>
        <v>299420210526104254107310</v>
      </c>
      <c r="C649" s="6" t="s">
        <v>11</v>
      </c>
      <c r="D649" s="6" t="str">
        <f>"卢颖"</f>
        <v>卢颖</v>
      </c>
      <c r="E649" s="6" t="str">
        <f t="shared" si="26"/>
        <v>女</v>
      </c>
    </row>
    <row r="650" spans="1:5" ht="30" customHeight="1">
      <c r="A650" s="6">
        <v>648</v>
      </c>
      <c r="B650" s="6" t="str">
        <f>"299420210526121341107492"</f>
        <v>299420210526121341107492</v>
      </c>
      <c r="C650" s="6" t="s">
        <v>11</v>
      </c>
      <c r="D650" s="6" t="str">
        <f>"王世完"</f>
        <v>王世完</v>
      </c>
      <c r="E650" s="6" t="str">
        <f t="shared" si="26"/>
        <v>女</v>
      </c>
    </row>
    <row r="651" spans="1:5" ht="30" customHeight="1">
      <c r="A651" s="6">
        <v>649</v>
      </c>
      <c r="B651" s="6" t="str">
        <f>"299420210526124913107575"</f>
        <v>299420210526124913107575</v>
      </c>
      <c r="C651" s="6" t="s">
        <v>11</v>
      </c>
      <c r="D651" s="6" t="str">
        <f>"李瑶"</f>
        <v>李瑶</v>
      </c>
      <c r="E651" s="6" t="str">
        <f t="shared" si="26"/>
        <v>女</v>
      </c>
    </row>
    <row r="652" spans="1:5" ht="30" customHeight="1">
      <c r="A652" s="6">
        <v>650</v>
      </c>
      <c r="B652" s="6" t="str">
        <f>"299420210526151000107750"</f>
        <v>299420210526151000107750</v>
      </c>
      <c r="C652" s="6" t="s">
        <v>11</v>
      </c>
      <c r="D652" s="6" t="str">
        <f>"文秀堪"</f>
        <v>文秀堪</v>
      </c>
      <c r="E652" s="6" t="str">
        <f t="shared" si="26"/>
        <v>女</v>
      </c>
    </row>
    <row r="653" spans="1:5" ht="30" customHeight="1">
      <c r="A653" s="6">
        <v>651</v>
      </c>
      <c r="B653" s="6" t="str">
        <f>"299420210526151605107767"</f>
        <v>299420210526151605107767</v>
      </c>
      <c r="C653" s="6" t="s">
        <v>11</v>
      </c>
      <c r="D653" s="6" t="str">
        <f>"蔡秋荣"</f>
        <v>蔡秋荣</v>
      </c>
      <c r="E653" s="6" t="str">
        <f t="shared" si="26"/>
        <v>女</v>
      </c>
    </row>
    <row r="654" spans="1:5" ht="30" customHeight="1">
      <c r="A654" s="6">
        <v>652</v>
      </c>
      <c r="B654" s="6" t="str">
        <f>"299420210526181440108102"</f>
        <v>299420210526181440108102</v>
      </c>
      <c r="C654" s="6" t="s">
        <v>11</v>
      </c>
      <c r="D654" s="6" t="str">
        <f>"蔡丹"</f>
        <v>蔡丹</v>
      </c>
      <c r="E654" s="6" t="str">
        <f t="shared" si="26"/>
        <v>女</v>
      </c>
    </row>
    <row r="655" spans="1:5" ht="30" customHeight="1">
      <c r="A655" s="6">
        <v>653</v>
      </c>
      <c r="B655" s="6" t="str">
        <f>"299420210526212030108447"</f>
        <v>299420210526212030108447</v>
      </c>
      <c r="C655" s="6" t="s">
        <v>11</v>
      </c>
      <c r="D655" s="6" t="str">
        <f>"王仙桃"</f>
        <v>王仙桃</v>
      </c>
      <c r="E655" s="6" t="str">
        <f t="shared" si="26"/>
        <v>女</v>
      </c>
    </row>
    <row r="656" spans="1:5" ht="30" customHeight="1">
      <c r="A656" s="6">
        <v>654</v>
      </c>
      <c r="B656" s="6" t="str">
        <f>"299420210526234226108714"</f>
        <v>299420210526234226108714</v>
      </c>
      <c r="C656" s="6" t="s">
        <v>11</v>
      </c>
      <c r="D656" s="6" t="str">
        <f>"杨瑞秀"</f>
        <v>杨瑞秀</v>
      </c>
      <c r="E656" s="6" t="str">
        <f t="shared" si="26"/>
        <v>女</v>
      </c>
    </row>
    <row r="657" spans="1:5" ht="30" customHeight="1">
      <c r="A657" s="6">
        <v>655</v>
      </c>
      <c r="B657" s="6" t="str">
        <f>"299420210527072426108804"</f>
        <v>299420210527072426108804</v>
      </c>
      <c r="C657" s="6" t="s">
        <v>11</v>
      </c>
      <c r="D657" s="6" t="str">
        <f>"吴关娇"</f>
        <v>吴关娇</v>
      </c>
      <c r="E657" s="6" t="str">
        <f t="shared" si="26"/>
        <v>女</v>
      </c>
    </row>
    <row r="658" spans="1:5" ht="30" customHeight="1">
      <c r="A658" s="6">
        <v>656</v>
      </c>
      <c r="B658" s="6" t="str">
        <f>"299420210527091227108903"</f>
        <v>299420210527091227108903</v>
      </c>
      <c r="C658" s="6" t="s">
        <v>11</v>
      </c>
      <c r="D658" s="6" t="str">
        <f>"吴松金"</f>
        <v>吴松金</v>
      </c>
      <c r="E658" s="6" t="str">
        <f t="shared" si="26"/>
        <v>女</v>
      </c>
    </row>
    <row r="659" spans="1:5" ht="30" customHeight="1">
      <c r="A659" s="6">
        <v>657</v>
      </c>
      <c r="B659" s="6" t="str">
        <f>"299420210527112501109156"</f>
        <v>299420210527112501109156</v>
      </c>
      <c r="C659" s="6" t="s">
        <v>11</v>
      </c>
      <c r="D659" s="6" t="str">
        <f>"张莉莉"</f>
        <v>张莉莉</v>
      </c>
      <c r="E659" s="6" t="str">
        <f t="shared" si="26"/>
        <v>女</v>
      </c>
    </row>
    <row r="660" spans="1:5" ht="30" customHeight="1">
      <c r="A660" s="6">
        <v>658</v>
      </c>
      <c r="B660" s="6" t="str">
        <f>"299420210527114928109185"</f>
        <v>299420210527114928109185</v>
      </c>
      <c r="C660" s="6" t="s">
        <v>11</v>
      </c>
      <c r="D660" s="6" t="str">
        <f>"王佳佳"</f>
        <v>王佳佳</v>
      </c>
      <c r="E660" s="6" t="str">
        <f t="shared" si="26"/>
        <v>女</v>
      </c>
    </row>
    <row r="661" spans="1:5" ht="30" customHeight="1">
      <c r="A661" s="6">
        <v>659</v>
      </c>
      <c r="B661" s="6" t="str">
        <f>"299420210527152400109441"</f>
        <v>299420210527152400109441</v>
      </c>
      <c r="C661" s="6" t="s">
        <v>11</v>
      </c>
      <c r="D661" s="6" t="str">
        <f>"陈烨"</f>
        <v>陈烨</v>
      </c>
      <c r="E661" s="6" t="str">
        <f t="shared" si="26"/>
        <v>女</v>
      </c>
    </row>
    <row r="662" spans="1:5" ht="30" customHeight="1">
      <c r="A662" s="6">
        <v>660</v>
      </c>
      <c r="B662" s="6" t="str">
        <f>"299420210527181755109739"</f>
        <v>299420210527181755109739</v>
      </c>
      <c r="C662" s="6" t="s">
        <v>11</v>
      </c>
      <c r="D662" s="6" t="str">
        <f>"王应轮"</f>
        <v>王应轮</v>
      </c>
      <c r="E662" s="6" t="str">
        <f t="shared" si="26"/>
        <v>女</v>
      </c>
    </row>
    <row r="663" spans="1:5" ht="30" customHeight="1">
      <c r="A663" s="6">
        <v>661</v>
      </c>
      <c r="B663" s="6" t="str">
        <f>"299420210527192258109807"</f>
        <v>299420210527192258109807</v>
      </c>
      <c r="C663" s="6" t="s">
        <v>11</v>
      </c>
      <c r="D663" s="6" t="str">
        <f>"王韩雪"</f>
        <v>王韩雪</v>
      </c>
      <c r="E663" s="6" t="str">
        <f t="shared" si="26"/>
        <v>女</v>
      </c>
    </row>
    <row r="664" spans="1:5" ht="30" customHeight="1">
      <c r="A664" s="6">
        <v>662</v>
      </c>
      <c r="B664" s="6" t="str">
        <f>"299420210527220536110020"</f>
        <v>299420210527220536110020</v>
      </c>
      <c r="C664" s="6" t="s">
        <v>11</v>
      </c>
      <c r="D664" s="6" t="str">
        <f>"陈美霖"</f>
        <v>陈美霖</v>
      </c>
      <c r="E664" s="6" t="str">
        <f t="shared" si="26"/>
        <v>女</v>
      </c>
    </row>
    <row r="665" spans="1:5" ht="30" customHeight="1">
      <c r="A665" s="6">
        <v>663</v>
      </c>
      <c r="B665" s="6" t="str">
        <f>"299420210527223645110066"</f>
        <v>299420210527223645110066</v>
      </c>
      <c r="C665" s="6" t="s">
        <v>11</v>
      </c>
      <c r="D665" s="6" t="str">
        <f>"翁亚珠"</f>
        <v>翁亚珠</v>
      </c>
      <c r="E665" s="6" t="str">
        <f t="shared" si="26"/>
        <v>女</v>
      </c>
    </row>
    <row r="666" spans="1:5" ht="30" customHeight="1">
      <c r="A666" s="6">
        <v>664</v>
      </c>
      <c r="B666" s="6" t="str">
        <f>"299420210527233458110136"</f>
        <v>299420210527233458110136</v>
      </c>
      <c r="C666" s="6" t="s">
        <v>11</v>
      </c>
      <c r="D666" s="6" t="str">
        <f>"吴慧敏"</f>
        <v>吴慧敏</v>
      </c>
      <c r="E666" s="6" t="str">
        <f t="shared" si="26"/>
        <v>女</v>
      </c>
    </row>
    <row r="667" spans="1:5" ht="30" customHeight="1">
      <c r="A667" s="6">
        <v>665</v>
      </c>
      <c r="B667" s="6" t="str">
        <f>"299420210528005325110171"</f>
        <v>299420210528005325110171</v>
      </c>
      <c r="C667" s="6" t="s">
        <v>11</v>
      </c>
      <c r="D667" s="6" t="str">
        <f>"李贵彩"</f>
        <v>李贵彩</v>
      </c>
      <c r="E667" s="6" t="str">
        <f t="shared" si="26"/>
        <v>女</v>
      </c>
    </row>
    <row r="668" spans="1:5" ht="30" customHeight="1">
      <c r="A668" s="6">
        <v>666</v>
      </c>
      <c r="B668" s="6" t="str">
        <f>"299420210528064327110184"</f>
        <v>299420210528064327110184</v>
      </c>
      <c r="C668" s="6" t="s">
        <v>11</v>
      </c>
      <c r="D668" s="6" t="str">
        <f>"张淑娴"</f>
        <v>张淑娴</v>
      </c>
      <c r="E668" s="6" t="str">
        <f t="shared" si="26"/>
        <v>女</v>
      </c>
    </row>
    <row r="669" spans="1:5" ht="30" customHeight="1">
      <c r="A669" s="6">
        <v>667</v>
      </c>
      <c r="B669" s="6" t="str">
        <f>"299420210528102824110414"</f>
        <v>299420210528102824110414</v>
      </c>
      <c r="C669" s="6" t="s">
        <v>11</v>
      </c>
      <c r="D669" s="6" t="str">
        <f>"杨传莉"</f>
        <v>杨传莉</v>
      </c>
      <c r="E669" s="6" t="str">
        <f t="shared" si="26"/>
        <v>女</v>
      </c>
    </row>
    <row r="670" spans="1:5" ht="30" customHeight="1">
      <c r="A670" s="6">
        <v>668</v>
      </c>
      <c r="B670" s="6" t="str">
        <f>"299420210528164420110974"</f>
        <v>299420210528164420110974</v>
      </c>
      <c r="C670" s="6" t="s">
        <v>11</v>
      </c>
      <c r="D670" s="6" t="str">
        <f>"黄宝"</f>
        <v>黄宝</v>
      </c>
      <c r="E670" s="6" t="str">
        <f t="shared" si="26"/>
        <v>女</v>
      </c>
    </row>
    <row r="671" spans="1:5" ht="30" customHeight="1">
      <c r="A671" s="6">
        <v>669</v>
      </c>
      <c r="B671" s="6" t="str">
        <f>"299420210529151309111700"</f>
        <v>299420210529151309111700</v>
      </c>
      <c r="C671" s="6" t="s">
        <v>11</v>
      </c>
      <c r="D671" s="6" t="str">
        <f>"王颜"</f>
        <v>王颜</v>
      </c>
      <c r="E671" s="6" t="str">
        <f t="shared" si="26"/>
        <v>女</v>
      </c>
    </row>
    <row r="672" spans="1:5" ht="30" customHeight="1">
      <c r="A672" s="6">
        <v>670</v>
      </c>
      <c r="B672" s="6" t="str">
        <f>"299420210529195410111857"</f>
        <v>299420210529195410111857</v>
      </c>
      <c r="C672" s="6" t="s">
        <v>11</v>
      </c>
      <c r="D672" s="6" t="str">
        <f>"丁艳"</f>
        <v>丁艳</v>
      </c>
      <c r="E672" s="6" t="str">
        <f t="shared" si="26"/>
        <v>女</v>
      </c>
    </row>
    <row r="673" spans="1:5" ht="30" customHeight="1">
      <c r="A673" s="6">
        <v>671</v>
      </c>
      <c r="B673" s="6" t="str">
        <f>"299420210530160130112388"</f>
        <v>299420210530160130112388</v>
      </c>
      <c r="C673" s="6" t="s">
        <v>11</v>
      </c>
      <c r="D673" s="6" t="str">
        <f>"黄金秋"</f>
        <v>黄金秋</v>
      </c>
      <c r="E673" s="6" t="str">
        <f t="shared" si="26"/>
        <v>女</v>
      </c>
    </row>
    <row r="674" spans="1:5" ht="30" customHeight="1">
      <c r="A674" s="6">
        <v>672</v>
      </c>
      <c r="B674" s="6" t="str">
        <f>"299420210531112925113259"</f>
        <v>299420210531112925113259</v>
      </c>
      <c r="C674" s="6" t="s">
        <v>11</v>
      </c>
      <c r="D674" s="6" t="str">
        <f>"吴敏"</f>
        <v>吴敏</v>
      </c>
      <c r="E674" s="6" t="str">
        <f t="shared" si="26"/>
        <v>女</v>
      </c>
    </row>
    <row r="675" spans="1:5" ht="30" customHeight="1">
      <c r="A675" s="6">
        <v>673</v>
      </c>
      <c r="B675" s="6" t="str">
        <f>"299420210531115521113285"</f>
        <v>299420210531115521113285</v>
      </c>
      <c r="C675" s="6" t="s">
        <v>11</v>
      </c>
      <c r="D675" s="6" t="str">
        <f>"王荣娜"</f>
        <v>王荣娜</v>
      </c>
      <c r="E675" s="6" t="str">
        <f t="shared" si="26"/>
        <v>女</v>
      </c>
    </row>
    <row r="676" spans="1:5" ht="30" customHeight="1">
      <c r="A676" s="6">
        <v>674</v>
      </c>
      <c r="B676" s="6" t="s">
        <v>12</v>
      </c>
      <c r="C676" s="6" t="s">
        <v>13</v>
      </c>
      <c r="D676" s="6" t="s">
        <v>14</v>
      </c>
      <c r="E676" s="6" t="s">
        <v>15</v>
      </c>
    </row>
    <row r="677" spans="1:5" ht="30" customHeight="1">
      <c r="A677" s="6">
        <v>675</v>
      </c>
      <c r="B677" s="6" t="s">
        <v>16</v>
      </c>
      <c r="C677" s="6" t="s">
        <v>13</v>
      </c>
      <c r="D677" s="6" t="s">
        <v>17</v>
      </c>
      <c r="E677" s="6" t="s">
        <v>15</v>
      </c>
    </row>
    <row r="678" spans="1:5" ht="30" customHeight="1">
      <c r="A678" s="6">
        <v>676</v>
      </c>
      <c r="B678" s="6" t="s">
        <v>18</v>
      </c>
      <c r="C678" s="6" t="s">
        <v>13</v>
      </c>
      <c r="D678" s="6" t="s">
        <v>19</v>
      </c>
      <c r="E678" s="6" t="s">
        <v>15</v>
      </c>
    </row>
    <row r="679" spans="1:5" ht="30" customHeight="1">
      <c r="A679" s="6">
        <v>677</v>
      </c>
      <c r="B679" s="6" t="s">
        <v>20</v>
      </c>
      <c r="C679" s="6" t="s">
        <v>13</v>
      </c>
      <c r="D679" s="6" t="s">
        <v>21</v>
      </c>
      <c r="E679" s="6" t="s">
        <v>15</v>
      </c>
    </row>
    <row r="680" spans="1:5" ht="30" customHeight="1">
      <c r="A680" s="6">
        <v>678</v>
      </c>
      <c r="B680" s="6" t="s">
        <v>22</v>
      </c>
      <c r="C680" s="6" t="s">
        <v>13</v>
      </c>
      <c r="D680" s="6" t="s">
        <v>23</v>
      </c>
      <c r="E680" s="6" t="s">
        <v>15</v>
      </c>
    </row>
    <row r="681" spans="1:5" ht="30" customHeight="1">
      <c r="A681" s="6">
        <v>679</v>
      </c>
      <c r="B681" s="6" t="s">
        <v>24</v>
      </c>
      <c r="C681" s="6" t="s">
        <v>13</v>
      </c>
      <c r="D681" s="6" t="s">
        <v>25</v>
      </c>
      <c r="E681" s="6" t="s">
        <v>15</v>
      </c>
    </row>
    <row r="682" spans="1:5" ht="30" customHeight="1">
      <c r="A682" s="6">
        <v>680</v>
      </c>
      <c r="B682" s="6" t="s">
        <v>26</v>
      </c>
      <c r="C682" s="6" t="s">
        <v>13</v>
      </c>
      <c r="D682" s="6" t="s">
        <v>27</v>
      </c>
      <c r="E682" s="6" t="s">
        <v>15</v>
      </c>
    </row>
    <row r="683" spans="1:5" ht="30" customHeight="1">
      <c r="A683" s="6">
        <v>681</v>
      </c>
      <c r="B683" s="6" t="s">
        <v>28</v>
      </c>
      <c r="C683" s="6" t="s">
        <v>13</v>
      </c>
      <c r="D683" s="6" t="s">
        <v>29</v>
      </c>
      <c r="E683" s="6" t="s">
        <v>15</v>
      </c>
    </row>
    <row r="684" spans="1:5" ht="30" customHeight="1">
      <c r="A684" s="6">
        <v>682</v>
      </c>
      <c r="B684" s="6" t="s">
        <v>30</v>
      </c>
      <c r="C684" s="6" t="s">
        <v>13</v>
      </c>
      <c r="D684" s="6" t="s">
        <v>31</v>
      </c>
      <c r="E684" s="6" t="s">
        <v>32</v>
      </c>
    </row>
    <row r="685" spans="1:5" ht="30" customHeight="1">
      <c r="A685" s="6">
        <v>683</v>
      </c>
      <c r="B685" s="6" t="s">
        <v>33</v>
      </c>
      <c r="C685" s="6" t="s">
        <v>13</v>
      </c>
      <c r="D685" s="6" t="s">
        <v>34</v>
      </c>
      <c r="E685" s="6" t="s">
        <v>15</v>
      </c>
    </row>
    <row r="686" spans="1:5" ht="30" customHeight="1">
      <c r="A686" s="6">
        <v>684</v>
      </c>
      <c r="B686" s="6" t="s">
        <v>35</v>
      </c>
      <c r="C686" s="6" t="s">
        <v>13</v>
      </c>
      <c r="D686" s="6" t="s">
        <v>36</v>
      </c>
      <c r="E686" s="6" t="s">
        <v>32</v>
      </c>
    </row>
    <row r="687" spans="1:5" ht="30" customHeight="1">
      <c r="A687" s="6">
        <v>685</v>
      </c>
      <c r="B687" s="6" t="s">
        <v>37</v>
      </c>
      <c r="C687" s="6" t="s">
        <v>13</v>
      </c>
      <c r="D687" s="6" t="s">
        <v>38</v>
      </c>
      <c r="E687" s="6" t="s">
        <v>32</v>
      </c>
    </row>
    <row r="688" spans="1:5" ht="30" customHeight="1">
      <c r="A688" s="6">
        <v>686</v>
      </c>
      <c r="B688" s="6" t="s">
        <v>39</v>
      </c>
      <c r="C688" s="6" t="s">
        <v>13</v>
      </c>
      <c r="D688" s="6" t="s">
        <v>40</v>
      </c>
      <c r="E688" s="6" t="s">
        <v>32</v>
      </c>
    </row>
    <row r="689" spans="1:5" ht="30" customHeight="1">
      <c r="A689" s="6">
        <v>687</v>
      </c>
      <c r="B689" s="6" t="s">
        <v>41</v>
      </c>
      <c r="C689" s="6" t="s">
        <v>13</v>
      </c>
      <c r="D689" s="6" t="s">
        <v>42</v>
      </c>
      <c r="E689" s="6" t="s">
        <v>15</v>
      </c>
    </row>
    <row r="690" spans="1:5" ht="30" customHeight="1">
      <c r="A690" s="6">
        <v>688</v>
      </c>
      <c r="B690" s="6" t="s">
        <v>43</v>
      </c>
      <c r="C690" s="6" t="s">
        <v>13</v>
      </c>
      <c r="D690" s="6" t="s">
        <v>44</v>
      </c>
      <c r="E690" s="6" t="s">
        <v>15</v>
      </c>
    </row>
    <row r="691" spans="1:5" ht="30" customHeight="1">
      <c r="A691" s="6">
        <v>689</v>
      </c>
      <c r="B691" s="6" t="s">
        <v>45</v>
      </c>
      <c r="C691" s="6" t="s">
        <v>13</v>
      </c>
      <c r="D691" s="6" t="s">
        <v>46</v>
      </c>
      <c r="E691" s="6" t="s">
        <v>15</v>
      </c>
    </row>
    <row r="692" spans="1:5" ht="30" customHeight="1">
      <c r="A692" s="6">
        <v>690</v>
      </c>
      <c r="B692" s="6" t="s">
        <v>47</v>
      </c>
      <c r="C692" s="6" t="s">
        <v>13</v>
      </c>
      <c r="D692" s="6" t="s">
        <v>48</v>
      </c>
      <c r="E692" s="6" t="s">
        <v>15</v>
      </c>
    </row>
    <row r="693" spans="1:5" ht="30" customHeight="1">
      <c r="A693" s="6">
        <v>691</v>
      </c>
      <c r="B693" s="6" t="s">
        <v>49</v>
      </c>
      <c r="C693" s="6" t="s">
        <v>13</v>
      </c>
      <c r="D693" s="6" t="s">
        <v>50</v>
      </c>
      <c r="E693" s="6" t="s">
        <v>15</v>
      </c>
    </row>
    <row r="694" spans="1:5" ht="30" customHeight="1">
      <c r="A694" s="6">
        <v>692</v>
      </c>
      <c r="B694" s="6" t="s">
        <v>51</v>
      </c>
      <c r="C694" s="6" t="s">
        <v>13</v>
      </c>
      <c r="D694" s="6" t="s">
        <v>52</v>
      </c>
      <c r="E694" s="6" t="s">
        <v>15</v>
      </c>
    </row>
    <row r="695" spans="1:5" ht="30" customHeight="1">
      <c r="A695" s="6">
        <v>693</v>
      </c>
      <c r="B695" s="6" t="s">
        <v>53</v>
      </c>
      <c r="C695" s="6" t="s">
        <v>54</v>
      </c>
      <c r="D695" s="6" t="s">
        <v>55</v>
      </c>
      <c r="E695" s="6" t="s">
        <v>32</v>
      </c>
    </row>
    <row r="696" spans="1:5" ht="30" customHeight="1">
      <c r="A696" s="6">
        <v>694</v>
      </c>
      <c r="B696" s="6" t="s">
        <v>56</v>
      </c>
      <c r="C696" s="6" t="s">
        <v>54</v>
      </c>
      <c r="D696" s="6" t="s">
        <v>57</v>
      </c>
      <c r="E696" s="6" t="s">
        <v>15</v>
      </c>
    </row>
    <row r="697" spans="1:5" ht="30" customHeight="1">
      <c r="A697" s="6">
        <v>695</v>
      </c>
      <c r="B697" s="6" t="s">
        <v>58</v>
      </c>
      <c r="C697" s="6" t="s">
        <v>54</v>
      </c>
      <c r="D697" s="6" t="s">
        <v>59</v>
      </c>
      <c r="E697" s="6" t="s">
        <v>32</v>
      </c>
    </row>
    <row r="698" spans="1:5" ht="30" customHeight="1">
      <c r="A698" s="6">
        <v>696</v>
      </c>
      <c r="B698" s="6" t="s">
        <v>60</v>
      </c>
      <c r="C698" s="6" t="s">
        <v>54</v>
      </c>
      <c r="D698" s="6" t="s">
        <v>61</v>
      </c>
      <c r="E698" s="6" t="s">
        <v>32</v>
      </c>
    </row>
    <row r="699" spans="1:5" ht="30" customHeight="1">
      <c r="A699" s="6">
        <v>697</v>
      </c>
      <c r="B699" s="6" t="s">
        <v>62</v>
      </c>
      <c r="C699" s="6" t="s">
        <v>54</v>
      </c>
      <c r="D699" s="6" t="s">
        <v>63</v>
      </c>
      <c r="E699" s="6" t="s">
        <v>15</v>
      </c>
    </row>
    <row r="700" spans="1:5" ht="30" customHeight="1">
      <c r="A700" s="6">
        <v>698</v>
      </c>
      <c r="B700" s="6" t="s">
        <v>64</v>
      </c>
      <c r="C700" s="6" t="s">
        <v>54</v>
      </c>
      <c r="D700" s="6" t="s">
        <v>65</v>
      </c>
      <c r="E700" s="6" t="s">
        <v>32</v>
      </c>
    </row>
    <row r="701" spans="1:5" ht="30" customHeight="1">
      <c r="A701" s="6">
        <v>699</v>
      </c>
      <c r="B701" s="6" t="s">
        <v>66</v>
      </c>
      <c r="C701" s="6" t="s">
        <v>54</v>
      </c>
      <c r="D701" s="6" t="s">
        <v>67</v>
      </c>
      <c r="E701" s="6" t="s">
        <v>32</v>
      </c>
    </row>
    <row r="702" spans="1:5" ht="30" customHeight="1">
      <c r="A702" s="6">
        <v>700</v>
      </c>
      <c r="B702" s="6" t="s">
        <v>68</v>
      </c>
      <c r="C702" s="6" t="s">
        <v>54</v>
      </c>
      <c r="D702" s="6" t="s">
        <v>69</v>
      </c>
      <c r="E702" s="6" t="s">
        <v>32</v>
      </c>
    </row>
    <row r="703" spans="1:5" ht="30" customHeight="1">
      <c r="A703" s="6">
        <v>701</v>
      </c>
      <c r="B703" s="6" t="s">
        <v>70</v>
      </c>
      <c r="C703" s="6" t="s">
        <v>54</v>
      </c>
      <c r="D703" s="6" t="s">
        <v>71</v>
      </c>
      <c r="E703" s="6" t="s">
        <v>15</v>
      </c>
    </row>
    <row r="704" spans="1:5" ht="30" customHeight="1">
      <c r="A704" s="6">
        <v>702</v>
      </c>
      <c r="B704" s="6" t="s">
        <v>72</v>
      </c>
      <c r="C704" s="6" t="s">
        <v>54</v>
      </c>
      <c r="D704" s="6" t="s">
        <v>73</v>
      </c>
      <c r="E704" s="6" t="s">
        <v>15</v>
      </c>
    </row>
    <row r="705" spans="1:5" ht="30" customHeight="1">
      <c r="A705" s="6">
        <v>703</v>
      </c>
      <c r="B705" s="6" t="s">
        <v>74</v>
      </c>
      <c r="C705" s="6" t="s">
        <v>54</v>
      </c>
      <c r="D705" s="6" t="s">
        <v>75</v>
      </c>
      <c r="E705" s="6" t="s">
        <v>32</v>
      </c>
    </row>
    <row r="706" spans="1:5" ht="30" customHeight="1">
      <c r="A706" s="6">
        <v>704</v>
      </c>
      <c r="B706" s="6" t="s">
        <v>76</v>
      </c>
      <c r="C706" s="6" t="s">
        <v>54</v>
      </c>
      <c r="D706" s="6" t="s">
        <v>77</v>
      </c>
      <c r="E706" s="6" t="s">
        <v>32</v>
      </c>
    </row>
    <row r="707" spans="1:5" ht="30" customHeight="1">
      <c r="A707" s="6">
        <v>705</v>
      </c>
      <c r="B707" s="6" t="s">
        <v>78</v>
      </c>
      <c r="C707" s="6" t="s">
        <v>54</v>
      </c>
      <c r="D707" s="6" t="s">
        <v>79</v>
      </c>
      <c r="E707" s="6" t="s">
        <v>32</v>
      </c>
    </row>
    <row r="708" spans="1:5" ht="30" customHeight="1">
      <c r="A708" s="6">
        <v>706</v>
      </c>
      <c r="B708" s="6" t="s">
        <v>80</v>
      </c>
      <c r="C708" s="6" t="s">
        <v>81</v>
      </c>
      <c r="D708" s="6" t="s">
        <v>82</v>
      </c>
      <c r="E708" s="6" t="s">
        <v>15</v>
      </c>
    </row>
    <row r="709" spans="1:5" ht="30" customHeight="1">
      <c r="A709" s="6">
        <v>707</v>
      </c>
      <c r="B709" s="6" t="s">
        <v>83</v>
      </c>
      <c r="C709" s="6" t="s">
        <v>81</v>
      </c>
      <c r="D709" s="6" t="s">
        <v>84</v>
      </c>
      <c r="E709" s="6" t="s">
        <v>32</v>
      </c>
    </row>
    <row r="710" spans="1:5" ht="30" customHeight="1">
      <c r="A710" s="6">
        <v>708</v>
      </c>
      <c r="B710" s="6" t="s">
        <v>85</v>
      </c>
      <c r="C710" s="6" t="s">
        <v>81</v>
      </c>
      <c r="D710" s="6" t="s">
        <v>86</v>
      </c>
      <c r="E710" s="6" t="s">
        <v>32</v>
      </c>
    </row>
    <row r="711" spans="1:5" ht="30" customHeight="1">
      <c r="A711" s="6">
        <v>709</v>
      </c>
      <c r="B711" s="6" t="s">
        <v>87</v>
      </c>
      <c r="C711" s="6" t="s">
        <v>81</v>
      </c>
      <c r="D711" s="6" t="s">
        <v>88</v>
      </c>
      <c r="E711" s="6" t="s">
        <v>32</v>
      </c>
    </row>
    <row r="712" spans="1:5" ht="30" customHeight="1">
      <c r="A712" s="6">
        <v>710</v>
      </c>
      <c r="B712" s="6" t="s">
        <v>89</v>
      </c>
      <c r="C712" s="6" t="s">
        <v>81</v>
      </c>
      <c r="D712" s="6" t="s">
        <v>90</v>
      </c>
      <c r="E712" s="6" t="s">
        <v>32</v>
      </c>
    </row>
    <row r="713" spans="1:5" ht="30" customHeight="1">
      <c r="A713" s="6">
        <v>711</v>
      </c>
      <c r="B713" s="6" t="s">
        <v>91</v>
      </c>
      <c r="C713" s="6" t="s">
        <v>81</v>
      </c>
      <c r="D713" s="6" t="s">
        <v>92</v>
      </c>
      <c r="E713" s="6" t="s">
        <v>32</v>
      </c>
    </row>
    <row r="714" spans="1:5" ht="30" customHeight="1">
      <c r="A714" s="6">
        <v>712</v>
      </c>
      <c r="B714" s="6" t="s">
        <v>93</v>
      </c>
      <c r="C714" s="6" t="s">
        <v>81</v>
      </c>
      <c r="D714" s="6" t="s">
        <v>94</v>
      </c>
      <c r="E714" s="6" t="s">
        <v>15</v>
      </c>
    </row>
    <row r="715" spans="1:5" ht="30" customHeight="1">
      <c r="A715" s="6">
        <v>713</v>
      </c>
      <c r="B715" s="6" t="s">
        <v>95</v>
      </c>
      <c r="C715" s="6" t="s">
        <v>81</v>
      </c>
      <c r="D715" s="6" t="s">
        <v>96</v>
      </c>
      <c r="E715" s="6" t="s">
        <v>32</v>
      </c>
    </row>
    <row r="716" spans="1:5" ht="30" customHeight="1">
      <c r="A716" s="6">
        <v>714</v>
      </c>
      <c r="B716" s="6" t="s">
        <v>97</v>
      </c>
      <c r="C716" s="6" t="s">
        <v>81</v>
      </c>
      <c r="D716" s="6" t="s">
        <v>98</v>
      </c>
      <c r="E716" s="6" t="s">
        <v>32</v>
      </c>
    </row>
    <row r="717" spans="1:5" ht="30" customHeight="1">
      <c r="A717" s="6">
        <v>715</v>
      </c>
      <c r="B717" s="6" t="s">
        <v>99</v>
      </c>
      <c r="C717" s="6" t="s">
        <v>81</v>
      </c>
      <c r="D717" s="6" t="s">
        <v>100</v>
      </c>
      <c r="E717" s="6" t="s">
        <v>32</v>
      </c>
    </row>
    <row r="718" spans="1:5" ht="30" customHeight="1">
      <c r="A718" s="6">
        <v>716</v>
      </c>
      <c r="B718" s="6" t="s">
        <v>101</v>
      </c>
      <c r="C718" s="6" t="s">
        <v>81</v>
      </c>
      <c r="D718" s="6" t="s">
        <v>102</v>
      </c>
      <c r="E718" s="6" t="s">
        <v>32</v>
      </c>
    </row>
    <row r="719" spans="1:5" ht="30" customHeight="1">
      <c r="A719" s="6">
        <v>717</v>
      </c>
      <c r="B719" s="6" t="s">
        <v>103</v>
      </c>
      <c r="C719" s="6" t="s">
        <v>81</v>
      </c>
      <c r="D719" s="6" t="s">
        <v>104</v>
      </c>
      <c r="E719" s="6" t="s">
        <v>32</v>
      </c>
    </row>
    <row r="720" spans="1:5" ht="30" customHeight="1">
      <c r="A720" s="6">
        <v>718</v>
      </c>
      <c r="B720" s="6" t="s">
        <v>105</v>
      </c>
      <c r="C720" s="6" t="s">
        <v>81</v>
      </c>
      <c r="D720" s="6" t="s">
        <v>106</v>
      </c>
      <c r="E720" s="6" t="s">
        <v>32</v>
      </c>
    </row>
    <row r="721" spans="1:5" ht="30" customHeight="1">
      <c r="A721" s="6">
        <v>719</v>
      </c>
      <c r="B721" s="6" t="s">
        <v>107</v>
      </c>
      <c r="C721" s="6" t="s">
        <v>81</v>
      </c>
      <c r="D721" s="6" t="s">
        <v>108</v>
      </c>
      <c r="E721" s="6" t="s">
        <v>32</v>
      </c>
    </row>
    <row r="722" spans="1:5" ht="30" customHeight="1">
      <c r="A722" s="6">
        <v>720</v>
      </c>
      <c r="B722" s="6" t="s">
        <v>109</v>
      </c>
      <c r="C722" s="6" t="s">
        <v>81</v>
      </c>
      <c r="D722" s="6" t="s">
        <v>110</v>
      </c>
      <c r="E722" s="6" t="s">
        <v>32</v>
      </c>
    </row>
    <row r="723" spans="1:5" ht="30" customHeight="1">
      <c r="A723" s="6">
        <v>721</v>
      </c>
      <c r="B723" s="6" t="s">
        <v>111</v>
      </c>
      <c r="C723" s="6" t="s">
        <v>81</v>
      </c>
      <c r="D723" s="6" t="s">
        <v>112</v>
      </c>
      <c r="E723" s="6" t="s">
        <v>32</v>
      </c>
    </row>
    <row r="724" spans="1:5" ht="30" customHeight="1">
      <c r="A724" s="6">
        <v>722</v>
      </c>
      <c r="B724" s="6" t="s">
        <v>113</v>
      </c>
      <c r="C724" s="6" t="s">
        <v>81</v>
      </c>
      <c r="D724" s="6" t="s">
        <v>114</v>
      </c>
      <c r="E724" s="6" t="s">
        <v>32</v>
      </c>
    </row>
    <row r="725" spans="1:5" ht="30" customHeight="1">
      <c r="A725" s="6">
        <v>723</v>
      </c>
      <c r="B725" s="6" t="s">
        <v>115</v>
      </c>
      <c r="C725" s="6" t="s">
        <v>81</v>
      </c>
      <c r="D725" s="6" t="s">
        <v>116</v>
      </c>
      <c r="E725" s="6" t="s">
        <v>15</v>
      </c>
    </row>
    <row r="726" spans="1:5" ht="30" customHeight="1">
      <c r="A726" s="6">
        <v>724</v>
      </c>
      <c r="B726" s="6" t="s">
        <v>117</v>
      </c>
      <c r="C726" s="6" t="s">
        <v>81</v>
      </c>
      <c r="D726" s="6" t="s">
        <v>118</v>
      </c>
      <c r="E726" s="6" t="s">
        <v>32</v>
      </c>
    </row>
    <row r="727" spans="1:5" ht="30" customHeight="1">
      <c r="A727" s="6">
        <v>725</v>
      </c>
      <c r="B727" s="6" t="s">
        <v>119</v>
      </c>
      <c r="C727" s="6" t="s">
        <v>81</v>
      </c>
      <c r="D727" s="6" t="s">
        <v>120</v>
      </c>
      <c r="E727" s="6" t="s">
        <v>32</v>
      </c>
    </row>
    <row r="728" spans="1:5" ht="30" customHeight="1">
      <c r="A728" s="6">
        <v>726</v>
      </c>
      <c r="B728" s="6" t="s">
        <v>121</v>
      </c>
      <c r="C728" s="6" t="s">
        <v>81</v>
      </c>
      <c r="D728" s="6" t="s">
        <v>122</v>
      </c>
      <c r="E728" s="6" t="s">
        <v>15</v>
      </c>
    </row>
    <row r="729" spans="1:5" ht="30" customHeight="1">
      <c r="A729" s="6">
        <v>727</v>
      </c>
      <c r="B729" s="6" t="s">
        <v>123</v>
      </c>
      <c r="C729" s="6" t="s">
        <v>81</v>
      </c>
      <c r="D729" s="6" t="s">
        <v>124</v>
      </c>
      <c r="E729" s="6" t="s">
        <v>32</v>
      </c>
    </row>
    <row r="730" spans="1:5" ht="30" customHeight="1">
      <c r="A730" s="6">
        <v>728</v>
      </c>
      <c r="B730" s="6" t="s">
        <v>125</v>
      </c>
      <c r="C730" s="6" t="s">
        <v>81</v>
      </c>
      <c r="D730" s="6" t="s">
        <v>126</v>
      </c>
      <c r="E730" s="6" t="s">
        <v>15</v>
      </c>
    </row>
    <row r="731" spans="1:5" ht="30" customHeight="1">
      <c r="A731" s="6">
        <v>729</v>
      </c>
      <c r="B731" s="6" t="s">
        <v>127</v>
      </c>
      <c r="C731" s="6" t="s">
        <v>81</v>
      </c>
      <c r="D731" s="6" t="s">
        <v>128</v>
      </c>
      <c r="E731" s="6" t="s">
        <v>32</v>
      </c>
    </row>
    <row r="732" spans="1:5" ht="30" customHeight="1">
      <c r="A732" s="6">
        <v>730</v>
      </c>
      <c r="B732" s="6" t="s">
        <v>129</v>
      </c>
      <c r="C732" s="6" t="s">
        <v>81</v>
      </c>
      <c r="D732" s="6" t="s">
        <v>130</v>
      </c>
      <c r="E732" s="6" t="s">
        <v>32</v>
      </c>
    </row>
    <row r="733" spans="1:5" ht="30" customHeight="1">
      <c r="A733" s="6">
        <v>731</v>
      </c>
      <c r="B733" s="6" t="s">
        <v>131</v>
      </c>
      <c r="C733" s="6" t="s">
        <v>81</v>
      </c>
      <c r="D733" s="6" t="s">
        <v>132</v>
      </c>
      <c r="E733" s="6" t="s">
        <v>15</v>
      </c>
    </row>
    <row r="734" spans="1:5" ht="30" customHeight="1">
      <c r="A734" s="6">
        <v>732</v>
      </c>
      <c r="B734" s="6" t="s">
        <v>133</v>
      </c>
      <c r="C734" s="6" t="s">
        <v>81</v>
      </c>
      <c r="D734" s="6" t="s">
        <v>134</v>
      </c>
      <c r="E734" s="6" t="s">
        <v>15</v>
      </c>
    </row>
    <row r="735" spans="1:5" ht="30" customHeight="1">
      <c r="A735" s="6">
        <v>733</v>
      </c>
      <c r="B735" s="6" t="s">
        <v>135</v>
      </c>
      <c r="C735" s="6" t="s">
        <v>81</v>
      </c>
      <c r="D735" s="6" t="s">
        <v>136</v>
      </c>
      <c r="E735" s="6" t="s">
        <v>15</v>
      </c>
    </row>
    <row r="736" spans="1:5" ht="30" customHeight="1">
      <c r="A736" s="6">
        <v>734</v>
      </c>
      <c r="B736" s="6" t="s">
        <v>137</v>
      </c>
      <c r="C736" s="6" t="s">
        <v>81</v>
      </c>
      <c r="D736" s="6" t="s">
        <v>138</v>
      </c>
      <c r="E736" s="6" t="s">
        <v>32</v>
      </c>
    </row>
    <row r="737" spans="1:5" ht="30" customHeight="1">
      <c r="A737" s="6">
        <v>735</v>
      </c>
      <c r="B737" s="6" t="s">
        <v>139</v>
      </c>
      <c r="C737" s="6" t="s">
        <v>81</v>
      </c>
      <c r="D737" s="6" t="s">
        <v>140</v>
      </c>
      <c r="E737" s="6" t="s">
        <v>32</v>
      </c>
    </row>
    <row r="738" spans="1:5" ht="30" customHeight="1">
      <c r="A738" s="6">
        <v>736</v>
      </c>
      <c r="B738" s="6" t="s">
        <v>141</v>
      </c>
      <c r="C738" s="6" t="s">
        <v>81</v>
      </c>
      <c r="D738" s="6" t="s">
        <v>142</v>
      </c>
      <c r="E738" s="6" t="s">
        <v>32</v>
      </c>
    </row>
    <row r="739" spans="1:5" ht="30" customHeight="1">
      <c r="A739" s="6">
        <v>737</v>
      </c>
      <c r="B739" s="6" t="s">
        <v>143</v>
      </c>
      <c r="C739" s="6" t="s">
        <v>81</v>
      </c>
      <c r="D739" s="6" t="s">
        <v>144</v>
      </c>
      <c r="E739" s="6" t="s">
        <v>32</v>
      </c>
    </row>
    <row r="740" spans="1:5" ht="30" customHeight="1">
      <c r="A740" s="6">
        <v>738</v>
      </c>
      <c r="B740" s="6" t="s">
        <v>145</v>
      </c>
      <c r="C740" s="6" t="s">
        <v>81</v>
      </c>
      <c r="D740" s="6" t="s">
        <v>146</v>
      </c>
      <c r="E740" s="6" t="s">
        <v>32</v>
      </c>
    </row>
    <row r="741" spans="1:5" ht="30" customHeight="1">
      <c r="A741" s="6">
        <v>739</v>
      </c>
      <c r="B741" s="6" t="s">
        <v>147</v>
      </c>
      <c r="C741" s="6" t="s">
        <v>81</v>
      </c>
      <c r="D741" s="6" t="s">
        <v>148</v>
      </c>
      <c r="E741" s="6" t="s">
        <v>32</v>
      </c>
    </row>
    <row r="742" spans="1:5" ht="30" customHeight="1">
      <c r="A742" s="6">
        <v>740</v>
      </c>
      <c r="B742" s="6" t="s">
        <v>149</v>
      </c>
      <c r="C742" s="6" t="s">
        <v>81</v>
      </c>
      <c r="D742" s="6" t="s">
        <v>150</v>
      </c>
      <c r="E742" s="6" t="s">
        <v>32</v>
      </c>
    </row>
    <row r="743" spans="1:5" ht="30" customHeight="1">
      <c r="A743" s="6">
        <v>741</v>
      </c>
      <c r="B743" s="6" t="s">
        <v>151</v>
      </c>
      <c r="C743" s="6" t="s">
        <v>81</v>
      </c>
      <c r="D743" s="6" t="s">
        <v>152</v>
      </c>
      <c r="E743" s="6" t="s">
        <v>32</v>
      </c>
    </row>
    <row r="744" spans="1:5" ht="30" customHeight="1">
      <c r="A744" s="6">
        <v>742</v>
      </c>
      <c r="B744" s="6" t="s">
        <v>153</v>
      </c>
      <c r="C744" s="6" t="s">
        <v>81</v>
      </c>
      <c r="D744" s="6" t="s">
        <v>154</v>
      </c>
      <c r="E744" s="6" t="s">
        <v>32</v>
      </c>
    </row>
    <row r="745" spans="1:5" ht="30" customHeight="1">
      <c r="A745" s="6">
        <v>743</v>
      </c>
      <c r="B745" s="6" t="s">
        <v>155</v>
      </c>
      <c r="C745" s="6" t="s">
        <v>81</v>
      </c>
      <c r="D745" s="6" t="s">
        <v>156</v>
      </c>
      <c r="E745" s="6" t="s">
        <v>32</v>
      </c>
    </row>
    <row r="746" spans="1:5" ht="30" customHeight="1">
      <c r="A746" s="6">
        <v>744</v>
      </c>
      <c r="B746" s="6" t="s">
        <v>157</v>
      </c>
      <c r="C746" s="6" t="s">
        <v>81</v>
      </c>
      <c r="D746" s="6" t="s">
        <v>158</v>
      </c>
      <c r="E746" s="6" t="s">
        <v>32</v>
      </c>
    </row>
    <row r="747" spans="1:5" ht="30" customHeight="1">
      <c r="A747" s="6">
        <v>745</v>
      </c>
      <c r="B747" s="6" t="s">
        <v>159</v>
      </c>
      <c r="C747" s="6" t="s">
        <v>81</v>
      </c>
      <c r="D747" s="6" t="s">
        <v>160</v>
      </c>
      <c r="E747" s="6" t="s">
        <v>15</v>
      </c>
    </row>
    <row r="748" spans="1:5" ht="30" customHeight="1">
      <c r="A748" s="6">
        <v>746</v>
      </c>
      <c r="B748" s="6" t="s">
        <v>161</v>
      </c>
      <c r="C748" s="6" t="s">
        <v>81</v>
      </c>
      <c r="D748" s="6" t="s">
        <v>162</v>
      </c>
      <c r="E748" s="6" t="s">
        <v>32</v>
      </c>
    </row>
    <row r="749" spans="1:5" ht="30" customHeight="1">
      <c r="A749" s="6">
        <v>747</v>
      </c>
      <c r="B749" s="6" t="s">
        <v>163</v>
      </c>
      <c r="C749" s="6" t="s">
        <v>81</v>
      </c>
      <c r="D749" s="6" t="s">
        <v>164</v>
      </c>
      <c r="E749" s="6" t="s">
        <v>32</v>
      </c>
    </row>
    <row r="750" spans="1:5" ht="30" customHeight="1">
      <c r="A750" s="6">
        <v>748</v>
      </c>
      <c r="B750" s="6" t="s">
        <v>165</v>
      </c>
      <c r="C750" s="6" t="s">
        <v>81</v>
      </c>
      <c r="D750" s="6" t="s">
        <v>166</v>
      </c>
      <c r="E750" s="6" t="s">
        <v>32</v>
      </c>
    </row>
    <row r="751" spans="1:5" ht="30" customHeight="1">
      <c r="A751" s="6">
        <v>749</v>
      </c>
      <c r="B751" s="6" t="s">
        <v>167</v>
      </c>
      <c r="C751" s="6" t="s">
        <v>81</v>
      </c>
      <c r="D751" s="6" t="s">
        <v>168</v>
      </c>
      <c r="E751" s="6" t="s">
        <v>32</v>
      </c>
    </row>
    <row r="752" spans="1:5" ht="30" customHeight="1">
      <c r="A752" s="6">
        <v>750</v>
      </c>
      <c r="B752" s="6" t="s">
        <v>169</v>
      </c>
      <c r="C752" s="6" t="s">
        <v>81</v>
      </c>
      <c r="D752" s="6" t="s">
        <v>170</v>
      </c>
      <c r="E752" s="6" t="s">
        <v>32</v>
      </c>
    </row>
    <row r="753" spans="1:5" ht="30" customHeight="1">
      <c r="A753" s="6">
        <v>751</v>
      </c>
      <c r="B753" s="6" t="s">
        <v>171</v>
      </c>
      <c r="C753" s="6" t="s">
        <v>81</v>
      </c>
      <c r="D753" s="6" t="s">
        <v>172</v>
      </c>
      <c r="E753" s="6" t="s">
        <v>15</v>
      </c>
    </row>
    <row r="754" spans="1:5" ht="30" customHeight="1">
      <c r="A754" s="6">
        <v>752</v>
      </c>
      <c r="B754" s="6" t="s">
        <v>173</v>
      </c>
      <c r="C754" s="6" t="s">
        <v>81</v>
      </c>
      <c r="D754" s="6" t="s">
        <v>174</v>
      </c>
      <c r="E754" s="6" t="s">
        <v>32</v>
      </c>
    </row>
    <row r="755" spans="1:5" ht="30" customHeight="1">
      <c r="A755" s="6">
        <v>753</v>
      </c>
      <c r="B755" s="6" t="s">
        <v>175</v>
      </c>
      <c r="C755" s="6" t="s">
        <v>81</v>
      </c>
      <c r="D755" s="6" t="s">
        <v>176</v>
      </c>
      <c r="E755" s="6" t="s">
        <v>32</v>
      </c>
    </row>
    <row r="756" spans="1:5" ht="30" customHeight="1">
      <c r="A756" s="6">
        <v>754</v>
      </c>
      <c r="B756" s="6" t="s">
        <v>177</v>
      </c>
      <c r="C756" s="6" t="s">
        <v>81</v>
      </c>
      <c r="D756" s="6" t="s">
        <v>178</v>
      </c>
      <c r="E756" s="6" t="s">
        <v>15</v>
      </c>
    </row>
    <row r="757" spans="1:5" ht="30" customHeight="1">
      <c r="A757" s="6">
        <v>755</v>
      </c>
      <c r="B757" s="6" t="s">
        <v>179</v>
      </c>
      <c r="C757" s="6" t="s">
        <v>81</v>
      </c>
      <c r="D757" s="6" t="s">
        <v>180</v>
      </c>
      <c r="E757" s="6" t="s">
        <v>32</v>
      </c>
    </row>
    <row r="758" spans="1:5" ht="30" customHeight="1">
      <c r="A758" s="6">
        <v>756</v>
      </c>
      <c r="B758" s="6" t="s">
        <v>181</v>
      </c>
      <c r="C758" s="6" t="s">
        <v>81</v>
      </c>
      <c r="D758" s="6" t="s">
        <v>182</v>
      </c>
      <c r="E758" s="6" t="s">
        <v>15</v>
      </c>
    </row>
    <row r="759" spans="1:5" ht="30" customHeight="1">
      <c r="A759" s="6">
        <v>757</v>
      </c>
      <c r="B759" s="6" t="s">
        <v>183</v>
      </c>
      <c r="C759" s="6" t="s">
        <v>81</v>
      </c>
      <c r="D759" s="6" t="s">
        <v>184</v>
      </c>
      <c r="E759" s="6" t="s">
        <v>32</v>
      </c>
    </row>
    <row r="760" spans="1:5" ht="30" customHeight="1">
      <c r="A760" s="6">
        <v>758</v>
      </c>
      <c r="B760" s="6" t="s">
        <v>185</v>
      </c>
      <c r="C760" s="6" t="s">
        <v>81</v>
      </c>
      <c r="D760" s="6" t="s">
        <v>186</v>
      </c>
      <c r="E760" s="6" t="s">
        <v>32</v>
      </c>
    </row>
    <row r="761" spans="1:5" ht="30" customHeight="1">
      <c r="A761" s="6">
        <v>759</v>
      </c>
      <c r="B761" s="6" t="s">
        <v>187</v>
      </c>
      <c r="C761" s="6" t="s">
        <v>81</v>
      </c>
      <c r="D761" s="6" t="s">
        <v>188</v>
      </c>
      <c r="E761" s="6" t="s">
        <v>15</v>
      </c>
    </row>
    <row r="762" spans="1:5" ht="30" customHeight="1">
      <c r="A762" s="6">
        <v>760</v>
      </c>
      <c r="B762" s="6" t="s">
        <v>189</v>
      </c>
      <c r="C762" s="6" t="s">
        <v>81</v>
      </c>
      <c r="D762" s="6" t="s">
        <v>190</v>
      </c>
      <c r="E762" s="6" t="s">
        <v>32</v>
      </c>
    </row>
    <row r="763" spans="1:5" ht="30" customHeight="1">
      <c r="A763" s="6">
        <v>761</v>
      </c>
      <c r="B763" s="6" t="s">
        <v>191</v>
      </c>
      <c r="C763" s="6" t="s">
        <v>81</v>
      </c>
      <c r="D763" s="6" t="s">
        <v>192</v>
      </c>
      <c r="E763" s="6" t="s">
        <v>32</v>
      </c>
    </row>
    <row r="764" spans="1:5" ht="30" customHeight="1">
      <c r="A764" s="6">
        <v>762</v>
      </c>
      <c r="B764" s="6" t="s">
        <v>193</v>
      </c>
      <c r="C764" s="6" t="s">
        <v>81</v>
      </c>
      <c r="D764" s="6" t="s">
        <v>194</v>
      </c>
      <c r="E764" s="6" t="s">
        <v>32</v>
      </c>
    </row>
    <row r="765" spans="1:5" ht="30" customHeight="1">
      <c r="A765" s="6">
        <v>763</v>
      </c>
      <c r="B765" s="6" t="s">
        <v>195</v>
      </c>
      <c r="C765" s="6" t="s">
        <v>81</v>
      </c>
      <c r="D765" s="6" t="s">
        <v>196</v>
      </c>
      <c r="E765" s="6" t="s">
        <v>32</v>
      </c>
    </row>
    <row r="766" spans="1:5" ht="30" customHeight="1">
      <c r="A766" s="6">
        <v>764</v>
      </c>
      <c r="B766" s="6" t="s">
        <v>197</v>
      </c>
      <c r="C766" s="6" t="s">
        <v>81</v>
      </c>
      <c r="D766" s="6" t="s">
        <v>198</v>
      </c>
      <c r="E766" s="6" t="s">
        <v>32</v>
      </c>
    </row>
    <row r="767" spans="1:5" ht="30" customHeight="1">
      <c r="A767" s="6">
        <v>765</v>
      </c>
      <c r="B767" s="6" t="s">
        <v>199</v>
      </c>
      <c r="C767" s="6" t="s">
        <v>81</v>
      </c>
      <c r="D767" s="6" t="s">
        <v>200</v>
      </c>
      <c r="E767" s="6" t="s">
        <v>32</v>
      </c>
    </row>
    <row r="768" spans="1:5" ht="30" customHeight="1">
      <c r="A768" s="6">
        <v>766</v>
      </c>
      <c r="B768" s="6" t="s">
        <v>201</v>
      </c>
      <c r="C768" s="6" t="s">
        <v>81</v>
      </c>
      <c r="D768" s="6" t="s">
        <v>202</v>
      </c>
      <c r="E768" s="6" t="s">
        <v>32</v>
      </c>
    </row>
    <row r="769" spans="1:5" ht="30" customHeight="1">
      <c r="A769" s="6">
        <v>767</v>
      </c>
      <c r="B769" s="6" t="s">
        <v>203</v>
      </c>
      <c r="C769" s="6" t="s">
        <v>81</v>
      </c>
      <c r="D769" s="6" t="s">
        <v>204</v>
      </c>
      <c r="E769" s="6" t="s">
        <v>15</v>
      </c>
    </row>
    <row r="770" spans="1:5" ht="30" customHeight="1">
      <c r="A770" s="6">
        <v>768</v>
      </c>
      <c r="B770" s="6" t="s">
        <v>205</v>
      </c>
      <c r="C770" s="6" t="s">
        <v>81</v>
      </c>
      <c r="D770" s="6" t="s">
        <v>206</v>
      </c>
      <c r="E770" s="6" t="s">
        <v>32</v>
      </c>
    </row>
    <row r="771" spans="1:5" ht="30" customHeight="1">
      <c r="A771" s="6">
        <v>769</v>
      </c>
      <c r="B771" s="6" t="s">
        <v>207</v>
      </c>
      <c r="C771" s="6" t="s">
        <v>81</v>
      </c>
      <c r="D771" s="6" t="s">
        <v>208</v>
      </c>
      <c r="E771" s="6" t="s">
        <v>15</v>
      </c>
    </row>
    <row r="772" spans="1:5" ht="30" customHeight="1">
      <c r="A772" s="6">
        <v>770</v>
      </c>
      <c r="B772" s="6" t="s">
        <v>209</v>
      </c>
      <c r="C772" s="6" t="s">
        <v>81</v>
      </c>
      <c r="D772" s="6" t="s">
        <v>210</v>
      </c>
      <c r="E772" s="6" t="s">
        <v>15</v>
      </c>
    </row>
    <row r="773" spans="1:5" ht="30" customHeight="1">
      <c r="A773" s="6">
        <v>771</v>
      </c>
      <c r="B773" s="6" t="s">
        <v>211</v>
      </c>
      <c r="C773" s="6" t="s">
        <v>81</v>
      </c>
      <c r="D773" s="6" t="s">
        <v>212</v>
      </c>
      <c r="E773" s="6" t="s">
        <v>15</v>
      </c>
    </row>
    <row r="774" spans="1:5" ht="30" customHeight="1">
      <c r="A774" s="6">
        <v>772</v>
      </c>
      <c r="B774" s="6" t="s">
        <v>213</v>
      </c>
      <c r="C774" s="6" t="s">
        <v>81</v>
      </c>
      <c r="D774" s="6" t="s">
        <v>214</v>
      </c>
      <c r="E774" s="6" t="s">
        <v>32</v>
      </c>
    </row>
    <row r="775" spans="1:5" ht="30" customHeight="1">
      <c r="A775" s="6">
        <v>773</v>
      </c>
      <c r="B775" s="6" t="s">
        <v>215</v>
      </c>
      <c r="C775" s="6" t="s">
        <v>81</v>
      </c>
      <c r="D775" s="6" t="s">
        <v>216</v>
      </c>
      <c r="E775" s="6" t="s">
        <v>32</v>
      </c>
    </row>
    <row r="776" spans="1:5" ht="30" customHeight="1">
      <c r="A776" s="6">
        <v>774</v>
      </c>
      <c r="B776" s="6" t="s">
        <v>217</v>
      </c>
      <c r="C776" s="6" t="s">
        <v>81</v>
      </c>
      <c r="D776" s="6" t="s">
        <v>218</v>
      </c>
      <c r="E776" s="6" t="s">
        <v>32</v>
      </c>
    </row>
    <row r="777" spans="1:5" ht="30" customHeight="1">
      <c r="A777" s="6">
        <v>775</v>
      </c>
      <c r="B777" s="6" t="s">
        <v>219</v>
      </c>
      <c r="C777" s="6" t="s">
        <v>81</v>
      </c>
      <c r="D777" s="6" t="s">
        <v>220</v>
      </c>
      <c r="E777" s="6" t="s">
        <v>32</v>
      </c>
    </row>
    <row r="778" spans="1:5" ht="30" customHeight="1">
      <c r="A778" s="6">
        <v>776</v>
      </c>
      <c r="B778" s="6" t="s">
        <v>221</v>
      </c>
      <c r="C778" s="6" t="s">
        <v>81</v>
      </c>
      <c r="D778" s="6" t="s">
        <v>222</v>
      </c>
      <c r="E778" s="6" t="s">
        <v>32</v>
      </c>
    </row>
    <row r="779" spans="1:5" ht="30" customHeight="1">
      <c r="A779" s="6">
        <v>777</v>
      </c>
      <c r="B779" s="6" t="s">
        <v>223</v>
      </c>
      <c r="C779" s="6" t="s">
        <v>81</v>
      </c>
      <c r="D779" s="6" t="s">
        <v>224</v>
      </c>
      <c r="E779" s="6" t="s">
        <v>32</v>
      </c>
    </row>
    <row r="780" spans="1:5" ht="30" customHeight="1">
      <c r="A780" s="6">
        <v>778</v>
      </c>
      <c r="B780" s="6" t="s">
        <v>225</v>
      </c>
      <c r="C780" s="6" t="s">
        <v>81</v>
      </c>
      <c r="D780" s="6" t="s">
        <v>226</v>
      </c>
      <c r="E780" s="6" t="s">
        <v>32</v>
      </c>
    </row>
    <row r="781" spans="1:5" ht="30" customHeight="1">
      <c r="A781" s="6">
        <v>779</v>
      </c>
      <c r="B781" s="6" t="s">
        <v>227</v>
      </c>
      <c r="C781" s="6" t="s">
        <v>81</v>
      </c>
      <c r="D781" s="6" t="s">
        <v>228</v>
      </c>
      <c r="E781" s="6" t="s">
        <v>32</v>
      </c>
    </row>
    <row r="782" spans="1:5" ht="30" customHeight="1">
      <c r="A782" s="6">
        <v>780</v>
      </c>
      <c r="B782" s="6" t="s">
        <v>229</v>
      </c>
      <c r="C782" s="6" t="s">
        <v>81</v>
      </c>
      <c r="D782" s="6" t="s">
        <v>230</v>
      </c>
      <c r="E782" s="6" t="s">
        <v>32</v>
      </c>
    </row>
    <row r="783" spans="1:5" ht="30" customHeight="1">
      <c r="A783" s="6">
        <v>781</v>
      </c>
      <c r="B783" s="6" t="s">
        <v>231</v>
      </c>
      <c r="C783" s="6" t="s">
        <v>81</v>
      </c>
      <c r="D783" s="6" t="s">
        <v>232</v>
      </c>
      <c r="E783" s="6" t="s">
        <v>32</v>
      </c>
    </row>
    <row r="784" spans="1:5" ht="30" customHeight="1">
      <c r="A784" s="6">
        <v>782</v>
      </c>
      <c r="B784" s="6" t="s">
        <v>233</v>
      </c>
      <c r="C784" s="6" t="s">
        <v>81</v>
      </c>
      <c r="D784" s="6" t="s">
        <v>234</v>
      </c>
      <c r="E784" s="6" t="s">
        <v>32</v>
      </c>
    </row>
    <row r="785" spans="1:5" ht="30" customHeight="1">
      <c r="A785" s="6">
        <v>783</v>
      </c>
      <c r="B785" s="6" t="s">
        <v>235</v>
      </c>
      <c r="C785" s="6" t="s">
        <v>81</v>
      </c>
      <c r="D785" s="6" t="s">
        <v>236</v>
      </c>
      <c r="E785" s="6" t="s">
        <v>32</v>
      </c>
    </row>
    <row r="786" spans="1:5" ht="30" customHeight="1">
      <c r="A786" s="6">
        <v>784</v>
      </c>
      <c r="B786" s="6" t="s">
        <v>237</v>
      </c>
      <c r="C786" s="6" t="s">
        <v>81</v>
      </c>
      <c r="D786" s="6" t="s">
        <v>238</v>
      </c>
      <c r="E786" s="6" t="s">
        <v>32</v>
      </c>
    </row>
    <row r="787" spans="1:5" ht="30" customHeight="1">
      <c r="A787" s="6">
        <v>785</v>
      </c>
      <c r="B787" s="6" t="s">
        <v>239</v>
      </c>
      <c r="C787" s="6" t="s">
        <v>81</v>
      </c>
      <c r="D787" s="6" t="s">
        <v>240</v>
      </c>
      <c r="E787" s="6" t="s">
        <v>32</v>
      </c>
    </row>
    <row r="788" spans="1:5" ht="30" customHeight="1">
      <c r="A788" s="6">
        <v>786</v>
      </c>
      <c r="B788" s="6" t="s">
        <v>241</v>
      </c>
      <c r="C788" s="6" t="s">
        <v>81</v>
      </c>
      <c r="D788" s="6" t="s">
        <v>242</v>
      </c>
      <c r="E788" s="6" t="s">
        <v>15</v>
      </c>
    </row>
    <row r="789" spans="1:5" ht="30" customHeight="1">
      <c r="A789" s="6">
        <v>787</v>
      </c>
      <c r="B789" s="6" t="s">
        <v>243</v>
      </c>
      <c r="C789" s="6" t="s">
        <v>81</v>
      </c>
      <c r="D789" s="6" t="s">
        <v>244</v>
      </c>
      <c r="E789" s="6" t="s">
        <v>32</v>
      </c>
    </row>
    <row r="790" spans="1:5" ht="30" customHeight="1">
      <c r="A790" s="6">
        <v>788</v>
      </c>
      <c r="B790" s="6" t="s">
        <v>245</v>
      </c>
      <c r="C790" s="6" t="s">
        <v>81</v>
      </c>
      <c r="D790" s="6" t="s">
        <v>246</v>
      </c>
      <c r="E790" s="6" t="s">
        <v>32</v>
      </c>
    </row>
    <row r="791" spans="1:5" ht="30" customHeight="1">
      <c r="A791" s="6">
        <v>789</v>
      </c>
      <c r="B791" s="6" t="s">
        <v>247</v>
      </c>
      <c r="C791" s="6" t="s">
        <v>81</v>
      </c>
      <c r="D791" s="6" t="s">
        <v>248</v>
      </c>
      <c r="E791" s="6" t="s">
        <v>32</v>
      </c>
    </row>
    <row r="792" spans="1:5" ht="30" customHeight="1">
      <c r="A792" s="6">
        <v>790</v>
      </c>
      <c r="B792" s="6" t="s">
        <v>249</v>
      </c>
      <c r="C792" s="6" t="s">
        <v>81</v>
      </c>
      <c r="D792" s="6" t="s">
        <v>250</v>
      </c>
      <c r="E792" s="6" t="s">
        <v>32</v>
      </c>
    </row>
    <row r="793" spans="1:5" ht="30" customHeight="1">
      <c r="A793" s="6">
        <v>791</v>
      </c>
      <c r="B793" s="6" t="s">
        <v>251</v>
      </c>
      <c r="C793" s="6" t="s">
        <v>81</v>
      </c>
      <c r="D793" s="6" t="s">
        <v>252</v>
      </c>
      <c r="E793" s="6" t="s">
        <v>15</v>
      </c>
    </row>
    <row r="794" spans="1:5" ht="30" customHeight="1">
      <c r="A794" s="6">
        <v>792</v>
      </c>
      <c r="B794" s="6" t="s">
        <v>253</v>
      </c>
      <c r="C794" s="6" t="s">
        <v>81</v>
      </c>
      <c r="D794" s="6" t="s">
        <v>254</v>
      </c>
      <c r="E794" s="6" t="s">
        <v>15</v>
      </c>
    </row>
    <row r="795" spans="1:5" ht="30" customHeight="1">
      <c r="A795" s="6">
        <v>793</v>
      </c>
      <c r="B795" s="6" t="s">
        <v>255</v>
      </c>
      <c r="C795" s="6" t="s">
        <v>81</v>
      </c>
      <c r="D795" s="6" t="s">
        <v>256</v>
      </c>
      <c r="E795" s="6" t="s">
        <v>32</v>
      </c>
    </row>
    <row r="796" spans="1:5" ht="30" customHeight="1">
      <c r="A796" s="6">
        <v>794</v>
      </c>
      <c r="B796" s="6" t="s">
        <v>257</v>
      </c>
      <c r="C796" s="6" t="s">
        <v>81</v>
      </c>
      <c r="D796" s="6" t="s">
        <v>258</v>
      </c>
      <c r="E796" s="6" t="s">
        <v>32</v>
      </c>
    </row>
    <row r="797" spans="1:5" ht="30" customHeight="1">
      <c r="A797" s="6">
        <v>795</v>
      </c>
      <c r="B797" s="6" t="s">
        <v>259</v>
      </c>
      <c r="C797" s="6" t="s">
        <v>81</v>
      </c>
      <c r="D797" s="6" t="s">
        <v>260</v>
      </c>
      <c r="E797" s="6" t="s">
        <v>32</v>
      </c>
    </row>
    <row r="798" spans="1:5" ht="30" customHeight="1">
      <c r="A798" s="6">
        <v>796</v>
      </c>
      <c r="B798" s="6" t="s">
        <v>261</v>
      </c>
      <c r="C798" s="6" t="s">
        <v>81</v>
      </c>
      <c r="D798" s="6" t="s">
        <v>262</v>
      </c>
      <c r="E798" s="6" t="s">
        <v>32</v>
      </c>
    </row>
    <row r="799" spans="1:5" ht="30" customHeight="1">
      <c r="A799" s="6">
        <v>797</v>
      </c>
      <c r="B799" s="6" t="s">
        <v>263</v>
      </c>
      <c r="C799" s="6" t="s">
        <v>81</v>
      </c>
      <c r="D799" s="6" t="s">
        <v>264</v>
      </c>
      <c r="E799" s="6" t="s">
        <v>32</v>
      </c>
    </row>
    <row r="800" spans="1:5" ht="30" customHeight="1">
      <c r="A800" s="6">
        <v>798</v>
      </c>
      <c r="B800" s="6" t="s">
        <v>265</v>
      </c>
      <c r="C800" s="6" t="s">
        <v>81</v>
      </c>
      <c r="D800" s="6" t="s">
        <v>266</v>
      </c>
      <c r="E800" s="6" t="s">
        <v>32</v>
      </c>
    </row>
    <row r="801" spans="1:5" ht="30" customHeight="1">
      <c r="A801" s="6">
        <v>799</v>
      </c>
      <c r="B801" s="6" t="s">
        <v>267</v>
      </c>
      <c r="C801" s="6" t="s">
        <v>81</v>
      </c>
      <c r="D801" s="6" t="s">
        <v>268</v>
      </c>
      <c r="E801" s="6" t="s">
        <v>32</v>
      </c>
    </row>
    <row r="802" spans="1:5" ht="30" customHeight="1">
      <c r="A802" s="6">
        <v>800</v>
      </c>
      <c r="B802" s="6" t="s">
        <v>269</v>
      </c>
      <c r="C802" s="6" t="s">
        <v>81</v>
      </c>
      <c r="D802" s="6" t="s">
        <v>270</v>
      </c>
      <c r="E802" s="6" t="s">
        <v>32</v>
      </c>
    </row>
    <row r="803" spans="1:5" ht="30" customHeight="1">
      <c r="A803" s="6">
        <v>801</v>
      </c>
      <c r="B803" s="6" t="s">
        <v>271</v>
      </c>
      <c r="C803" s="6" t="s">
        <v>81</v>
      </c>
      <c r="D803" s="6" t="s">
        <v>272</v>
      </c>
      <c r="E803" s="6" t="s">
        <v>15</v>
      </c>
    </row>
    <row r="804" spans="1:5" ht="30" customHeight="1">
      <c r="A804" s="6">
        <v>802</v>
      </c>
      <c r="B804" s="6" t="s">
        <v>273</v>
      </c>
      <c r="C804" s="6" t="s">
        <v>81</v>
      </c>
      <c r="D804" s="6" t="s">
        <v>274</v>
      </c>
      <c r="E804" s="6" t="s">
        <v>15</v>
      </c>
    </row>
    <row r="805" spans="1:5" ht="30" customHeight="1">
      <c r="A805" s="6">
        <v>803</v>
      </c>
      <c r="B805" s="6" t="s">
        <v>275</v>
      </c>
      <c r="C805" s="6" t="s">
        <v>81</v>
      </c>
      <c r="D805" s="6" t="s">
        <v>276</v>
      </c>
      <c r="E805" s="6" t="s">
        <v>15</v>
      </c>
    </row>
    <row r="806" spans="1:5" ht="30" customHeight="1">
      <c r="A806" s="6">
        <v>804</v>
      </c>
      <c r="B806" s="6" t="s">
        <v>277</v>
      </c>
      <c r="C806" s="6" t="s">
        <v>81</v>
      </c>
      <c r="D806" s="6" t="s">
        <v>278</v>
      </c>
      <c r="E806" s="6" t="s">
        <v>15</v>
      </c>
    </row>
    <row r="807" spans="1:5" ht="30" customHeight="1">
      <c r="A807" s="6">
        <v>805</v>
      </c>
      <c r="B807" s="6" t="s">
        <v>279</v>
      </c>
      <c r="C807" s="6" t="s">
        <v>81</v>
      </c>
      <c r="D807" s="6" t="s">
        <v>280</v>
      </c>
      <c r="E807" s="6" t="s">
        <v>32</v>
      </c>
    </row>
    <row r="808" spans="1:5" ht="30" customHeight="1">
      <c r="A808" s="6">
        <v>806</v>
      </c>
      <c r="B808" s="6" t="s">
        <v>281</v>
      </c>
      <c r="C808" s="6" t="s">
        <v>81</v>
      </c>
      <c r="D808" s="6" t="s">
        <v>282</v>
      </c>
      <c r="E808" s="6" t="s">
        <v>32</v>
      </c>
    </row>
    <row r="809" spans="1:5" ht="30" customHeight="1">
      <c r="A809" s="6">
        <v>807</v>
      </c>
      <c r="B809" s="6" t="s">
        <v>283</v>
      </c>
      <c r="C809" s="6" t="s">
        <v>81</v>
      </c>
      <c r="D809" s="6" t="s">
        <v>284</v>
      </c>
      <c r="E809" s="6" t="s">
        <v>15</v>
      </c>
    </row>
    <row r="810" spans="1:5" ht="30" customHeight="1">
      <c r="A810" s="6">
        <v>808</v>
      </c>
      <c r="B810" s="6" t="s">
        <v>285</v>
      </c>
      <c r="C810" s="6" t="s">
        <v>81</v>
      </c>
      <c r="D810" s="6" t="s">
        <v>286</v>
      </c>
      <c r="E810" s="6" t="s">
        <v>32</v>
      </c>
    </row>
    <row r="811" spans="1:5" ht="30" customHeight="1">
      <c r="A811" s="6">
        <v>809</v>
      </c>
      <c r="B811" s="6" t="s">
        <v>287</v>
      </c>
      <c r="C811" s="6" t="s">
        <v>81</v>
      </c>
      <c r="D811" s="6" t="s">
        <v>288</v>
      </c>
      <c r="E811" s="6" t="s">
        <v>32</v>
      </c>
    </row>
    <row r="812" spans="1:5" ht="30" customHeight="1">
      <c r="A812" s="6">
        <v>810</v>
      </c>
      <c r="B812" s="6" t="s">
        <v>289</v>
      </c>
      <c r="C812" s="6" t="s">
        <v>81</v>
      </c>
      <c r="D812" s="6" t="s">
        <v>290</v>
      </c>
      <c r="E812" s="6" t="s">
        <v>32</v>
      </c>
    </row>
    <row r="813" spans="1:5" ht="30" customHeight="1">
      <c r="A813" s="6">
        <v>811</v>
      </c>
      <c r="B813" s="6" t="s">
        <v>291</v>
      </c>
      <c r="C813" s="6" t="s">
        <v>81</v>
      </c>
      <c r="D813" s="6" t="s">
        <v>292</v>
      </c>
      <c r="E813" s="6" t="s">
        <v>32</v>
      </c>
    </row>
    <row r="814" spans="1:5" ht="30" customHeight="1">
      <c r="A814" s="6">
        <v>812</v>
      </c>
      <c r="B814" s="6" t="s">
        <v>293</v>
      </c>
      <c r="C814" s="6" t="s">
        <v>81</v>
      </c>
      <c r="D814" s="6" t="s">
        <v>294</v>
      </c>
      <c r="E814" s="6" t="s">
        <v>32</v>
      </c>
    </row>
    <row r="815" spans="1:5" ht="30" customHeight="1">
      <c r="A815" s="6">
        <v>813</v>
      </c>
      <c r="B815" s="6" t="s">
        <v>295</v>
      </c>
      <c r="C815" s="6" t="s">
        <v>81</v>
      </c>
      <c r="D815" s="6" t="s">
        <v>296</v>
      </c>
      <c r="E815" s="6" t="s">
        <v>32</v>
      </c>
    </row>
    <row r="816" spans="1:5" ht="30" customHeight="1">
      <c r="A816" s="6">
        <v>814</v>
      </c>
      <c r="B816" s="6" t="s">
        <v>297</v>
      </c>
      <c r="C816" s="6" t="s">
        <v>81</v>
      </c>
      <c r="D816" s="6" t="s">
        <v>298</v>
      </c>
      <c r="E816" s="6" t="s">
        <v>15</v>
      </c>
    </row>
    <row r="817" spans="1:5" ht="30" customHeight="1">
      <c r="A817" s="6">
        <v>815</v>
      </c>
      <c r="B817" s="6" t="s">
        <v>299</v>
      </c>
      <c r="C817" s="6" t="s">
        <v>300</v>
      </c>
      <c r="D817" s="6" t="s">
        <v>301</v>
      </c>
      <c r="E817" s="6" t="s">
        <v>32</v>
      </c>
    </row>
    <row r="818" spans="1:5" ht="30" customHeight="1">
      <c r="A818" s="6">
        <v>816</v>
      </c>
      <c r="B818" s="6" t="s">
        <v>302</v>
      </c>
      <c r="C818" s="6" t="s">
        <v>300</v>
      </c>
      <c r="D818" s="6" t="s">
        <v>303</v>
      </c>
      <c r="E818" s="6" t="s">
        <v>15</v>
      </c>
    </row>
    <row r="819" spans="1:5" ht="30" customHeight="1">
      <c r="A819" s="6">
        <v>817</v>
      </c>
      <c r="B819" s="6" t="s">
        <v>304</v>
      </c>
      <c r="C819" s="6" t="s">
        <v>300</v>
      </c>
      <c r="D819" s="6" t="s">
        <v>305</v>
      </c>
      <c r="E819" s="6" t="s">
        <v>32</v>
      </c>
    </row>
    <row r="820" spans="1:5" ht="30" customHeight="1">
      <c r="A820" s="6">
        <v>818</v>
      </c>
      <c r="B820" s="6" t="s">
        <v>306</v>
      </c>
      <c r="C820" s="6" t="s">
        <v>300</v>
      </c>
      <c r="D820" s="6" t="s">
        <v>307</v>
      </c>
      <c r="E820" s="6" t="s">
        <v>32</v>
      </c>
    </row>
    <row r="821" spans="1:5" ht="30" customHeight="1">
      <c r="A821" s="6">
        <v>819</v>
      </c>
      <c r="B821" s="6" t="s">
        <v>308</v>
      </c>
      <c r="C821" s="6" t="s">
        <v>300</v>
      </c>
      <c r="D821" s="6" t="s">
        <v>309</v>
      </c>
      <c r="E821" s="6" t="s">
        <v>32</v>
      </c>
    </row>
    <row r="822" spans="1:5" ht="30" customHeight="1">
      <c r="A822" s="6">
        <v>820</v>
      </c>
      <c r="B822" s="6" t="s">
        <v>310</v>
      </c>
      <c r="C822" s="6" t="s">
        <v>300</v>
      </c>
      <c r="D822" s="6" t="s">
        <v>311</v>
      </c>
      <c r="E822" s="6" t="s">
        <v>15</v>
      </c>
    </row>
    <row r="823" spans="1:5" ht="30" customHeight="1">
      <c r="A823" s="6">
        <v>821</v>
      </c>
      <c r="B823" s="6" t="s">
        <v>312</v>
      </c>
      <c r="C823" s="6" t="s">
        <v>300</v>
      </c>
      <c r="D823" s="6" t="s">
        <v>313</v>
      </c>
      <c r="E823" s="6" t="s">
        <v>32</v>
      </c>
    </row>
    <row r="824" spans="1:5" ht="30" customHeight="1">
      <c r="A824" s="6">
        <v>822</v>
      </c>
      <c r="B824" s="6" t="s">
        <v>314</v>
      </c>
      <c r="C824" s="6" t="s">
        <v>300</v>
      </c>
      <c r="D824" s="6" t="s">
        <v>315</v>
      </c>
      <c r="E824" s="6" t="s">
        <v>32</v>
      </c>
    </row>
    <row r="825" spans="1:5" ht="30" customHeight="1">
      <c r="A825" s="6">
        <v>823</v>
      </c>
      <c r="B825" s="6" t="s">
        <v>316</v>
      </c>
      <c r="C825" s="6" t="s">
        <v>300</v>
      </c>
      <c r="D825" s="6" t="s">
        <v>317</v>
      </c>
      <c r="E825" s="6" t="s">
        <v>32</v>
      </c>
    </row>
    <row r="826" spans="1:5" ht="30" customHeight="1">
      <c r="A826" s="6">
        <v>824</v>
      </c>
      <c r="B826" s="6" t="s">
        <v>318</v>
      </c>
      <c r="C826" s="6" t="s">
        <v>300</v>
      </c>
      <c r="D826" s="6" t="s">
        <v>319</v>
      </c>
      <c r="E826" s="6" t="s">
        <v>32</v>
      </c>
    </row>
    <row r="827" spans="1:5" ht="30" customHeight="1">
      <c r="A827" s="6">
        <v>825</v>
      </c>
      <c r="B827" s="6" t="s">
        <v>320</v>
      </c>
      <c r="C827" s="6" t="s">
        <v>300</v>
      </c>
      <c r="D827" s="6" t="s">
        <v>321</v>
      </c>
      <c r="E827" s="6" t="s">
        <v>32</v>
      </c>
    </row>
    <row r="828" spans="1:5" ht="30" customHeight="1">
      <c r="A828" s="6">
        <v>826</v>
      </c>
      <c r="B828" s="6" t="s">
        <v>322</v>
      </c>
      <c r="C828" s="6" t="s">
        <v>300</v>
      </c>
      <c r="D828" s="6" t="s">
        <v>323</v>
      </c>
      <c r="E828" s="6" t="s">
        <v>32</v>
      </c>
    </row>
    <row r="829" spans="1:5" ht="30" customHeight="1">
      <c r="A829" s="6">
        <v>827</v>
      </c>
      <c r="B829" s="6" t="s">
        <v>324</v>
      </c>
      <c r="C829" s="6" t="s">
        <v>300</v>
      </c>
      <c r="D829" s="6" t="s">
        <v>325</v>
      </c>
      <c r="E829" s="6" t="s">
        <v>32</v>
      </c>
    </row>
    <row r="830" spans="1:5" ht="30" customHeight="1">
      <c r="A830" s="6">
        <v>828</v>
      </c>
      <c r="B830" s="6" t="s">
        <v>326</v>
      </c>
      <c r="C830" s="6" t="s">
        <v>300</v>
      </c>
      <c r="D830" s="6" t="s">
        <v>327</v>
      </c>
      <c r="E830" s="6" t="s">
        <v>15</v>
      </c>
    </row>
    <row r="831" spans="1:5" ht="30" customHeight="1">
      <c r="A831" s="6">
        <v>829</v>
      </c>
      <c r="B831" s="6" t="s">
        <v>328</v>
      </c>
      <c r="C831" s="6" t="s">
        <v>300</v>
      </c>
      <c r="D831" s="6" t="s">
        <v>329</v>
      </c>
      <c r="E831" s="6" t="s">
        <v>32</v>
      </c>
    </row>
    <row r="832" spans="1:5" ht="30" customHeight="1">
      <c r="A832" s="6">
        <v>830</v>
      </c>
      <c r="B832" s="6" t="s">
        <v>330</v>
      </c>
      <c r="C832" s="6" t="s">
        <v>300</v>
      </c>
      <c r="D832" s="6" t="s">
        <v>331</v>
      </c>
      <c r="E832" s="6" t="s">
        <v>32</v>
      </c>
    </row>
    <row r="833" spans="1:5" ht="30" customHeight="1">
      <c r="A833" s="6">
        <v>831</v>
      </c>
      <c r="B833" s="6" t="s">
        <v>332</v>
      </c>
      <c r="C833" s="6" t="s">
        <v>300</v>
      </c>
      <c r="D833" s="6" t="s">
        <v>333</v>
      </c>
      <c r="E833" s="6" t="s">
        <v>32</v>
      </c>
    </row>
    <row r="834" spans="1:5" ht="30" customHeight="1">
      <c r="A834" s="6">
        <v>832</v>
      </c>
      <c r="B834" s="6" t="s">
        <v>334</v>
      </c>
      <c r="C834" s="6" t="s">
        <v>300</v>
      </c>
      <c r="D834" s="6" t="s">
        <v>335</v>
      </c>
      <c r="E834" s="6" t="s">
        <v>32</v>
      </c>
    </row>
    <row r="835" spans="1:5" ht="30" customHeight="1">
      <c r="A835" s="6">
        <v>833</v>
      </c>
      <c r="B835" s="6" t="s">
        <v>336</v>
      </c>
      <c r="C835" s="6" t="s">
        <v>300</v>
      </c>
      <c r="D835" s="6" t="s">
        <v>337</v>
      </c>
      <c r="E835" s="6" t="s">
        <v>32</v>
      </c>
    </row>
    <row r="836" spans="1:5" ht="30" customHeight="1">
      <c r="A836" s="6">
        <v>834</v>
      </c>
      <c r="B836" s="6" t="s">
        <v>338</v>
      </c>
      <c r="C836" s="6" t="s">
        <v>300</v>
      </c>
      <c r="D836" s="6" t="s">
        <v>339</v>
      </c>
      <c r="E836" s="6" t="s">
        <v>32</v>
      </c>
    </row>
    <row r="837" spans="1:5" ht="30" customHeight="1">
      <c r="A837" s="6">
        <v>835</v>
      </c>
      <c r="B837" s="6" t="s">
        <v>340</v>
      </c>
      <c r="C837" s="6" t="s">
        <v>300</v>
      </c>
      <c r="D837" s="6" t="s">
        <v>341</v>
      </c>
      <c r="E837" s="6" t="s">
        <v>32</v>
      </c>
    </row>
    <row r="838" spans="1:5" ht="30" customHeight="1">
      <c r="A838" s="6">
        <v>836</v>
      </c>
      <c r="B838" s="6" t="s">
        <v>342</v>
      </c>
      <c r="C838" s="6" t="s">
        <v>300</v>
      </c>
      <c r="D838" s="6" t="s">
        <v>343</v>
      </c>
      <c r="E838" s="6" t="s">
        <v>32</v>
      </c>
    </row>
    <row r="839" spans="1:5" ht="30" customHeight="1">
      <c r="A839" s="6">
        <v>837</v>
      </c>
      <c r="B839" s="6" t="s">
        <v>344</v>
      </c>
      <c r="C839" s="6" t="s">
        <v>300</v>
      </c>
      <c r="D839" s="6" t="s">
        <v>345</v>
      </c>
      <c r="E839" s="6" t="s">
        <v>32</v>
      </c>
    </row>
    <row r="840" spans="1:5" ht="30" customHeight="1">
      <c r="A840" s="6">
        <v>838</v>
      </c>
      <c r="B840" s="6" t="s">
        <v>346</v>
      </c>
      <c r="C840" s="6" t="s">
        <v>300</v>
      </c>
      <c r="D840" s="6" t="s">
        <v>347</v>
      </c>
      <c r="E840" s="6" t="s">
        <v>32</v>
      </c>
    </row>
    <row r="841" spans="1:5" ht="30" customHeight="1">
      <c r="A841" s="6">
        <v>839</v>
      </c>
      <c r="B841" s="6" t="s">
        <v>348</v>
      </c>
      <c r="C841" s="6" t="s">
        <v>300</v>
      </c>
      <c r="D841" s="6" t="s">
        <v>349</v>
      </c>
      <c r="E841" s="6" t="s">
        <v>32</v>
      </c>
    </row>
    <row r="842" spans="1:5" ht="30" customHeight="1">
      <c r="A842" s="6">
        <v>840</v>
      </c>
      <c r="B842" s="6" t="s">
        <v>350</v>
      </c>
      <c r="C842" s="6" t="s">
        <v>300</v>
      </c>
      <c r="D842" s="6" t="s">
        <v>351</v>
      </c>
      <c r="E842" s="6" t="s">
        <v>32</v>
      </c>
    </row>
    <row r="843" spans="1:5" ht="30" customHeight="1">
      <c r="A843" s="6">
        <v>841</v>
      </c>
      <c r="B843" s="6" t="s">
        <v>352</v>
      </c>
      <c r="C843" s="6" t="s">
        <v>300</v>
      </c>
      <c r="D843" s="6" t="s">
        <v>353</v>
      </c>
      <c r="E843" s="6" t="s">
        <v>32</v>
      </c>
    </row>
    <row r="844" spans="1:5" ht="30" customHeight="1">
      <c r="A844" s="6">
        <v>842</v>
      </c>
      <c r="B844" s="6" t="s">
        <v>354</v>
      </c>
      <c r="C844" s="6" t="s">
        <v>300</v>
      </c>
      <c r="D844" s="6" t="s">
        <v>355</v>
      </c>
      <c r="E844" s="6" t="s">
        <v>32</v>
      </c>
    </row>
    <row r="845" spans="1:5" ht="30" customHeight="1">
      <c r="A845" s="6">
        <v>843</v>
      </c>
      <c r="B845" s="6" t="s">
        <v>356</v>
      </c>
      <c r="C845" s="6" t="s">
        <v>300</v>
      </c>
      <c r="D845" s="6" t="s">
        <v>357</v>
      </c>
      <c r="E845" s="6" t="s">
        <v>32</v>
      </c>
    </row>
    <row r="846" spans="1:5" ht="30" customHeight="1">
      <c r="A846" s="6">
        <v>844</v>
      </c>
      <c r="B846" s="6" t="s">
        <v>358</v>
      </c>
      <c r="C846" s="6" t="s">
        <v>300</v>
      </c>
      <c r="D846" s="6" t="s">
        <v>359</v>
      </c>
      <c r="E846" s="6" t="s">
        <v>32</v>
      </c>
    </row>
    <row r="847" spans="1:5" ht="30" customHeight="1">
      <c r="A847" s="6">
        <v>845</v>
      </c>
      <c r="B847" s="6" t="s">
        <v>360</v>
      </c>
      <c r="C847" s="6" t="s">
        <v>300</v>
      </c>
      <c r="D847" s="6" t="s">
        <v>361</v>
      </c>
      <c r="E847" s="6" t="s">
        <v>32</v>
      </c>
    </row>
    <row r="848" spans="1:5" ht="30" customHeight="1">
      <c r="A848" s="6">
        <v>846</v>
      </c>
      <c r="B848" s="6" t="s">
        <v>362</v>
      </c>
      <c r="C848" s="6" t="s">
        <v>300</v>
      </c>
      <c r="D848" s="6" t="s">
        <v>363</v>
      </c>
      <c r="E848" s="6" t="s">
        <v>32</v>
      </c>
    </row>
    <row r="849" spans="1:5" ht="30" customHeight="1">
      <c r="A849" s="6">
        <v>847</v>
      </c>
      <c r="B849" s="6" t="s">
        <v>364</v>
      </c>
      <c r="C849" s="6" t="s">
        <v>300</v>
      </c>
      <c r="D849" s="6" t="s">
        <v>365</v>
      </c>
      <c r="E849" s="6" t="s">
        <v>32</v>
      </c>
    </row>
    <row r="850" spans="1:5" ht="30" customHeight="1">
      <c r="A850" s="6">
        <v>848</v>
      </c>
      <c r="B850" s="6" t="s">
        <v>366</v>
      </c>
      <c r="C850" s="6" t="s">
        <v>300</v>
      </c>
      <c r="D850" s="6" t="s">
        <v>367</v>
      </c>
      <c r="E850" s="6" t="s">
        <v>32</v>
      </c>
    </row>
    <row r="851" spans="1:5" ht="30" customHeight="1">
      <c r="A851" s="6">
        <v>849</v>
      </c>
      <c r="B851" s="6" t="s">
        <v>368</v>
      </c>
      <c r="C851" s="6" t="s">
        <v>300</v>
      </c>
      <c r="D851" s="6" t="s">
        <v>369</v>
      </c>
      <c r="E851" s="6" t="s">
        <v>32</v>
      </c>
    </row>
    <row r="852" spans="1:5" ht="30" customHeight="1">
      <c r="A852" s="6">
        <v>850</v>
      </c>
      <c r="B852" s="6" t="s">
        <v>370</v>
      </c>
      <c r="C852" s="6" t="s">
        <v>300</v>
      </c>
      <c r="D852" s="6" t="s">
        <v>371</v>
      </c>
      <c r="E852" s="6" t="s">
        <v>32</v>
      </c>
    </row>
    <row r="853" spans="1:5" ht="30" customHeight="1">
      <c r="A853" s="6">
        <v>851</v>
      </c>
      <c r="B853" s="6" t="s">
        <v>372</v>
      </c>
      <c r="C853" s="6" t="s">
        <v>300</v>
      </c>
      <c r="D853" s="6" t="s">
        <v>373</v>
      </c>
      <c r="E853" s="6" t="s">
        <v>32</v>
      </c>
    </row>
    <row r="854" spans="1:5" ht="30" customHeight="1">
      <c r="A854" s="6">
        <v>852</v>
      </c>
      <c r="B854" s="6" t="s">
        <v>374</v>
      </c>
      <c r="C854" s="6" t="s">
        <v>300</v>
      </c>
      <c r="D854" s="6" t="s">
        <v>375</v>
      </c>
      <c r="E854" s="6" t="s">
        <v>32</v>
      </c>
    </row>
    <row r="855" spans="1:5" ht="30" customHeight="1">
      <c r="A855" s="6">
        <v>853</v>
      </c>
      <c r="B855" s="6" t="s">
        <v>376</v>
      </c>
      <c r="C855" s="6" t="s">
        <v>300</v>
      </c>
      <c r="D855" s="6" t="s">
        <v>377</v>
      </c>
      <c r="E855" s="6" t="s">
        <v>32</v>
      </c>
    </row>
    <row r="856" spans="1:5" ht="30" customHeight="1">
      <c r="A856" s="6">
        <v>854</v>
      </c>
      <c r="B856" s="6" t="s">
        <v>378</v>
      </c>
      <c r="C856" s="6" t="s">
        <v>300</v>
      </c>
      <c r="D856" s="6" t="s">
        <v>379</v>
      </c>
      <c r="E856" s="6" t="s">
        <v>32</v>
      </c>
    </row>
    <row r="857" spans="1:5" ht="30" customHeight="1">
      <c r="A857" s="6">
        <v>855</v>
      </c>
      <c r="B857" s="6" t="s">
        <v>380</v>
      </c>
      <c r="C857" s="6" t="s">
        <v>300</v>
      </c>
      <c r="D857" s="6" t="s">
        <v>381</v>
      </c>
      <c r="E857" s="6" t="s">
        <v>32</v>
      </c>
    </row>
    <row r="858" spans="1:5" ht="30" customHeight="1">
      <c r="A858" s="6">
        <v>856</v>
      </c>
      <c r="B858" s="6" t="s">
        <v>382</v>
      </c>
      <c r="C858" s="6" t="s">
        <v>300</v>
      </c>
      <c r="D858" s="6" t="s">
        <v>383</v>
      </c>
      <c r="E858" s="6" t="s">
        <v>32</v>
      </c>
    </row>
    <row r="859" spans="1:5" ht="30" customHeight="1">
      <c r="A859" s="6">
        <v>857</v>
      </c>
      <c r="B859" s="6" t="s">
        <v>384</v>
      </c>
      <c r="C859" s="6" t="s">
        <v>300</v>
      </c>
      <c r="D859" s="6" t="s">
        <v>385</v>
      </c>
      <c r="E859" s="6" t="s">
        <v>32</v>
      </c>
    </row>
    <row r="860" spans="1:5" ht="30" customHeight="1">
      <c r="A860" s="6">
        <v>858</v>
      </c>
      <c r="B860" s="6" t="s">
        <v>386</v>
      </c>
      <c r="C860" s="6" t="s">
        <v>300</v>
      </c>
      <c r="D860" s="6" t="s">
        <v>387</v>
      </c>
      <c r="E860" s="6" t="s">
        <v>32</v>
      </c>
    </row>
    <row r="861" spans="1:5" ht="30" customHeight="1">
      <c r="A861" s="6">
        <v>859</v>
      </c>
      <c r="B861" s="6" t="s">
        <v>388</v>
      </c>
      <c r="C861" s="6" t="s">
        <v>300</v>
      </c>
      <c r="D861" s="6" t="s">
        <v>389</v>
      </c>
      <c r="E861" s="6" t="s">
        <v>15</v>
      </c>
    </row>
    <row r="862" spans="1:5" ht="30" customHeight="1">
      <c r="A862" s="6">
        <v>860</v>
      </c>
      <c r="B862" s="6" t="s">
        <v>390</v>
      </c>
      <c r="C862" s="6" t="s">
        <v>300</v>
      </c>
      <c r="D862" s="6" t="s">
        <v>391</v>
      </c>
      <c r="E862" s="6" t="s">
        <v>32</v>
      </c>
    </row>
    <row r="863" spans="1:5" ht="30" customHeight="1">
      <c r="A863" s="6">
        <v>861</v>
      </c>
      <c r="B863" s="6" t="s">
        <v>392</v>
      </c>
      <c r="C863" s="6" t="s">
        <v>300</v>
      </c>
      <c r="D863" s="6" t="s">
        <v>393</v>
      </c>
      <c r="E863" s="6" t="s">
        <v>32</v>
      </c>
    </row>
    <row r="864" spans="1:5" ht="30" customHeight="1">
      <c r="A864" s="6">
        <v>862</v>
      </c>
      <c r="B864" s="6" t="s">
        <v>394</v>
      </c>
      <c r="C864" s="6" t="s">
        <v>300</v>
      </c>
      <c r="D864" s="6" t="s">
        <v>395</v>
      </c>
      <c r="E864" s="6" t="s">
        <v>32</v>
      </c>
    </row>
    <row r="865" spans="1:5" ht="30" customHeight="1">
      <c r="A865" s="6">
        <v>863</v>
      </c>
      <c r="B865" s="6" t="s">
        <v>396</v>
      </c>
      <c r="C865" s="6" t="s">
        <v>300</v>
      </c>
      <c r="D865" s="6" t="s">
        <v>397</v>
      </c>
      <c r="E865" s="6" t="s">
        <v>32</v>
      </c>
    </row>
    <row r="866" spans="1:5" ht="30" customHeight="1">
      <c r="A866" s="6">
        <v>864</v>
      </c>
      <c r="B866" s="6" t="s">
        <v>398</v>
      </c>
      <c r="C866" s="6" t="s">
        <v>300</v>
      </c>
      <c r="D866" s="6" t="s">
        <v>399</v>
      </c>
      <c r="E866" s="6" t="s">
        <v>32</v>
      </c>
    </row>
    <row r="867" spans="1:5" ht="30" customHeight="1">
      <c r="A867" s="6">
        <v>865</v>
      </c>
      <c r="B867" s="6" t="s">
        <v>400</v>
      </c>
      <c r="C867" s="6" t="s">
        <v>300</v>
      </c>
      <c r="D867" s="6" t="s">
        <v>401</v>
      </c>
      <c r="E867" s="6" t="s">
        <v>32</v>
      </c>
    </row>
    <row r="868" spans="1:5" ht="30" customHeight="1">
      <c r="A868" s="6">
        <v>866</v>
      </c>
      <c r="B868" s="6" t="s">
        <v>402</v>
      </c>
      <c r="C868" s="6" t="s">
        <v>300</v>
      </c>
      <c r="D868" s="6" t="s">
        <v>403</v>
      </c>
      <c r="E868" s="6" t="s">
        <v>32</v>
      </c>
    </row>
    <row r="869" spans="1:5" ht="30" customHeight="1">
      <c r="A869" s="6">
        <v>867</v>
      </c>
      <c r="B869" s="6" t="s">
        <v>404</v>
      </c>
      <c r="C869" s="6" t="s">
        <v>300</v>
      </c>
      <c r="D869" s="6" t="s">
        <v>405</v>
      </c>
      <c r="E869" s="6" t="s">
        <v>32</v>
      </c>
    </row>
    <row r="870" spans="1:5" ht="30" customHeight="1">
      <c r="A870" s="6">
        <v>868</v>
      </c>
      <c r="B870" s="6" t="s">
        <v>406</v>
      </c>
      <c r="C870" s="6" t="s">
        <v>300</v>
      </c>
      <c r="D870" s="6" t="s">
        <v>407</v>
      </c>
      <c r="E870" s="6" t="s">
        <v>32</v>
      </c>
    </row>
    <row r="871" spans="1:5" ht="30" customHeight="1">
      <c r="A871" s="6">
        <v>869</v>
      </c>
      <c r="B871" s="6" t="s">
        <v>408</v>
      </c>
      <c r="C871" s="6" t="s">
        <v>300</v>
      </c>
      <c r="D871" s="6" t="s">
        <v>409</v>
      </c>
      <c r="E871" s="6" t="s">
        <v>32</v>
      </c>
    </row>
    <row r="872" spans="1:5" ht="30" customHeight="1">
      <c r="A872" s="6">
        <v>870</v>
      </c>
      <c r="B872" s="6" t="s">
        <v>410</v>
      </c>
      <c r="C872" s="6" t="s">
        <v>300</v>
      </c>
      <c r="D872" s="6" t="s">
        <v>411</v>
      </c>
      <c r="E872" s="6" t="s">
        <v>32</v>
      </c>
    </row>
    <row r="873" spans="1:5" ht="30" customHeight="1">
      <c r="A873" s="6">
        <v>871</v>
      </c>
      <c r="B873" s="6" t="s">
        <v>412</v>
      </c>
      <c r="C873" s="6" t="s">
        <v>300</v>
      </c>
      <c r="D873" s="6" t="s">
        <v>413</v>
      </c>
      <c r="E873" s="6" t="s">
        <v>32</v>
      </c>
    </row>
    <row r="874" spans="1:5" ht="30" customHeight="1">
      <c r="A874" s="6">
        <v>872</v>
      </c>
      <c r="B874" s="6" t="s">
        <v>414</v>
      </c>
      <c r="C874" s="6" t="s">
        <v>300</v>
      </c>
      <c r="D874" s="6" t="s">
        <v>415</v>
      </c>
      <c r="E874" s="6" t="s">
        <v>32</v>
      </c>
    </row>
    <row r="875" spans="1:5" ht="30" customHeight="1">
      <c r="A875" s="6">
        <v>873</v>
      </c>
      <c r="B875" s="6" t="s">
        <v>416</v>
      </c>
      <c r="C875" s="6" t="s">
        <v>300</v>
      </c>
      <c r="D875" s="6" t="s">
        <v>417</v>
      </c>
      <c r="E875" s="6" t="s">
        <v>32</v>
      </c>
    </row>
    <row r="876" spans="1:5" ht="30" customHeight="1">
      <c r="A876" s="6">
        <v>874</v>
      </c>
      <c r="B876" s="6" t="s">
        <v>418</v>
      </c>
      <c r="C876" s="6" t="s">
        <v>300</v>
      </c>
      <c r="D876" s="6" t="s">
        <v>419</v>
      </c>
      <c r="E876" s="6" t="s">
        <v>32</v>
      </c>
    </row>
    <row r="877" spans="1:5" ht="30" customHeight="1">
      <c r="A877" s="6">
        <v>875</v>
      </c>
      <c r="B877" s="6" t="s">
        <v>420</v>
      </c>
      <c r="C877" s="6" t="s">
        <v>300</v>
      </c>
      <c r="D877" s="6" t="s">
        <v>421</v>
      </c>
      <c r="E877" s="6" t="s">
        <v>32</v>
      </c>
    </row>
    <row r="878" spans="1:5" ht="30" customHeight="1">
      <c r="A878" s="6">
        <v>876</v>
      </c>
      <c r="B878" s="6" t="s">
        <v>422</v>
      </c>
      <c r="C878" s="6" t="s">
        <v>300</v>
      </c>
      <c r="D878" s="6" t="s">
        <v>423</v>
      </c>
      <c r="E878" s="6" t="s">
        <v>32</v>
      </c>
    </row>
    <row r="879" spans="1:5" ht="30" customHeight="1">
      <c r="A879" s="6">
        <v>877</v>
      </c>
      <c r="B879" s="6" t="s">
        <v>424</v>
      </c>
      <c r="C879" s="6" t="s">
        <v>300</v>
      </c>
      <c r="D879" s="6" t="s">
        <v>425</v>
      </c>
      <c r="E879" s="6" t="s">
        <v>32</v>
      </c>
    </row>
    <row r="880" spans="1:5" ht="30" customHeight="1">
      <c r="A880" s="6">
        <v>878</v>
      </c>
      <c r="B880" s="6" t="s">
        <v>426</v>
      </c>
      <c r="C880" s="6" t="s">
        <v>300</v>
      </c>
      <c r="D880" s="6" t="s">
        <v>427</v>
      </c>
      <c r="E880" s="6" t="s">
        <v>32</v>
      </c>
    </row>
    <row r="881" spans="1:5" ht="30" customHeight="1">
      <c r="A881" s="6">
        <v>879</v>
      </c>
      <c r="B881" s="6" t="s">
        <v>428</v>
      </c>
      <c r="C881" s="6" t="s">
        <v>300</v>
      </c>
      <c r="D881" s="6" t="s">
        <v>429</v>
      </c>
      <c r="E881" s="6" t="s">
        <v>32</v>
      </c>
    </row>
    <row r="882" spans="1:5" ht="30" customHeight="1">
      <c r="A882" s="6">
        <v>880</v>
      </c>
      <c r="B882" s="6" t="s">
        <v>430</v>
      </c>
      <c r="C882" s="6" t="s">
        <v>300</v>
      </c>
      <c r="D882" s="6" t="s">
        <v>431</v>
      </c>
      <c r="E882" s="6" t="s">
        <v>32</v>
      </c>
    </row>
    <row r="883" spans="1:5" ht="30" customHeight="1">
      <c r="A883" s="6">
        <v>881</v>
      </c>
      <c r="B883" s="6" t="s">
        <v>432</v>
      </c>
      <c r="C883" s="6" t="s">
        <v>300</v>
      </c>
      <c r="D883" s="6" t="s">
        <v>433</v>
      </c>
      <c r="E883" s="6" t="s">
        <v>32</v>
      </c>
    </row>
    <row r="884" spans="1:5" ht="30" customHeight="1">
      <c r="A884" s="6">
        <v>882</v>
      </c>
      <c r="B884" s="6" t="s">
        <v>434</v>
      </c>
      <c r="C884" s="6" t="s">
        <v>300</v>
      </c>
      <c r="D884" s="6" t="s">
        <v>435</v>
      </c>
      <c r="E884" s="6" t="s">
        <v>32</v>
      </c>
    </row>
    <row r="885" spans="1:5" ht="30" customHeight="1">
      <c r="A885" s="6">
        <v>883</v>
      </c>
      <c r="B885" s="6" t="s">
        <v>436</v>
      </c>
      <c r="C885" s="6" t="s">
        <v>300</v>
      </c>
      <c r="D885" s="6" t="s">
        <v>437</v>
      </c>
      <c r="E885" s="6" t="s">
        <v>32</v>
      </c>
    </row>
    <row r="886" spans="1:5" ht="30" customHeight="1">
      <c r="A886" s="6">
        <v>884</v>
      </c>
      <c r="B886" s="6" t="s">
        <v>438</v>
      </c>
      <c r="C886" s="6" t="s">
        <v>300</v>
      </c>
      <c r="D886" s="6" t="s">
        <v>439</v>
      </c>
      <c r="E886" s="6" t="s">
        <v>32</v>
      </c>
    </row>
    <row r="887" spans="1:5" ht="30" customHeight="1">
      <c r="A887" s="6">
        <v>885</v>
      </c>
      <c r="B887" s="6" t="s">
        <v>440</v>
      </c>
      <c r="C887" s="6" t="s">
        <v>300</v>
      </c>
      <c r="D887" s="6" t="s">
        <v>441</v>
      </c>
      <c r="E887" s="6" t="s">
        <v>15</v>
      </c>
    </row>
    <row r="888" spans="1:5" ht="30" customHeight="1">
      <c r="A888" s="6">
        <v>886</v>
      </c>
      <c r="B888" s="6" t="s">
        <v>442</v>
      </c>
      <c r="C888" s="6" t="s">
        <v>300</v>
      </c>
      <c r="D888" s="6" t="s">
        <v>443</v>
      </c>
      <c r="E888" s="6" t="s">
        <v>32</v>
      </c>
    </row>
    <row r="889" spans="1:5" ht="30" customHeight="1">
      <c r="A889" s="6">
        <v>887</v>
      </c>
      <c r="B889" s="6" t="s">
        <v>444</v>
      </c>
      <c r="C889" s="6" t="s">
        <v>300</v>
      </c>
      <c r="D889" s="6" t="s">
        <v>445</v>
      </c>
      <c r="E889" s="6" t="s">
        <v>32</v>
      </c>
    </row>
    <row r="890" spans="1:5" ht="30" customHeight="1">
      <c r="A890" s="6">
        <v>888</v>
      </c>
      <c r="B890" s="6" t="s">
        <v>446</v>
      </c>
      <c r="C890" s="6" t="s">
        <v>300</v>
      </c>
      <c r="D890" s="6" t="s">
        <v>447</v>
      </c>
      <c r="E890" s="6" t="s">
        <v>32</v>
      </c>
    </row>
    <row r="891" spans="1:5" ht="30" customHeight="1">
      <c r="A891" s="6">
        <v>889</v>
      </c>
      <c r="B891" s="6" t="s">
        <v>448</v>
      </c>
      <c r="C891" s="6" t="s">
        <v>300</v>
      </c>
      <c r="D891" s="6" t="s">
        <v>449</v>
      </c>
      <c r="E891" s="6" t="s">
        <v>15</v>
      </c>
    </row>
    <row r="892" spans="1:5" ht="30" customHeight="1">
      <c r="A892" s="6">
        <v>890</v>
      </c>
      <c r="B892" s="6" t="s">
        <v>450</v>
      </c>
      <c r="C892" s="6" t="s">
        <v>300</v>
      </c>
      <c r="D892" s="6" t="s">
        <v>451</v>
      </c>
      <c r="E892" s="6" t="s">
        <v>32</v>
      </c>
    </row>
    <row r="893" spans="1:5" ht="30" customHeight="1">
      <c r="A893" s="6">
        <v>891</v>
      </c>
      <c r="B893" s="6" t="s">
        <v>452</v>
      </c>
      <c r="C893" s="6" t="s">
        <v>300</v>
      </c>
      <c r="D893" s="6" t="s">
        <v>453</v>
      </c>
      <c r="E893" s="6" t="s">
        <v>32</v>
      </c>
    </row>
    <row r="894" spans="1:5" ht="30" customHeight="1">
      <c r="A894" s="6">
        <v>892</v>
      </c>
      <c r="B894" s="6" t="s">
        <v>454</v>
      </c>
      <c r="C894" s="6" t="s">
        <v>300</v>
      </c>
      <c r="D894" s="6" t="s">
        <v>455</v>
      </c>
      <c r="E894" s="6" t="s">
        <v>32</v>
      </c>
    </row>
    <row r="895" spans="1:5" ht="30" customHeight="1">
      <c r="A895" s="6">
        <v>893</v>
      </c>
      <c r="B895" s="6" t="s">
        <v>456</v>
      </c>
      <c r="C895" s="6" t="s">
        <v>300</v>
      </c>
      <c r="D895" s="6" t="s">
        <v>457</v>
      </c>
      <c r="E895" s="6" t="s">
        <v>32</v>
      </c>
    </row>
    <row r="896" spans="1:5" ht="30" customHeight="1">
      <c r="A896" s="6">
        <v>894</v>
      </c>
      <c r="B896" s="6" t="s">
        <v>458</v>
      </c>
      <c r="C896" s="6" t="s">
        <v>300</v>
      </c>
      <c r="D896" s="6" t="s">
        <v>459</v>
      </c>
      <c r="E896" s="6" t="s">
        <v>32</v>
      </c>
    </row>
    <row r="897" spans="1:5" ht="30" customHeight="1">
      <c r="A897" s="6">
        <v>895</v>
      </c>
      <c r="B897" s="6" t="s">
        <v>460</v>
      </c>
      <c r="C897" s="6" t="s">
        <v>300</v>
      </c>
      <c r="D897" s="6" t="s">
        <v>461</v>
      </c>
      <c r="E897" s="6" t="s">
        <v>32</v>
      </c>
    </row>
    <row r="898" spans="1:5" ht="30" customHeight="1">
      <c r="A898" s="6">
        <v>896</v>
      </c>
      <c r="B898" s="6" t="s">
        <v>462</v>
      </c>
      <c r="C898" s="6" t="s">
        <v>300</v>
      </c>
      <c r="D898" s="6" t="s">
        <v>463</v>
      </c>
      <c r="E898" s="6" t="s">
        <v>32</v>
      </c>
    </row>
    <row r="899" spans="1:5" ht="30" customHeight="1">
      <c r="A899" s="6">
        <v>897</v>
      </c>
      <c r="B899" s="6" t="s">
        <v>464</v>
      </c>
      <c r="C899" s="6" t="s">
        <v>300</v>
      </c>
      <c r="D899" s="6" t="s">
        <v>465</v>
      </c>
      <c r="E899" s="6" t="s">
        <v>32</v>
      </c>
    </row>
    <row r="900" spans="1:5" ht="30" customHeight="1">
      <c r="A900" s="6">
        <v>898</v>
      </c>
      <c r="B900" s="6" t="s">
        <v>466</v>
      </c>
      <c r="C900" s="6" t="s">
        <v>300</v>
      </c>
      <c r="D900" s="6" t="s">
        <v>467</v>
      </c>
      <c r="E900" s="6" t="s">
        <v>32</v>
      </c>
    </row>
    <row r="901" spans="1:5" ht="30" customHeight="1">
      <c r="A901" s="6">
        <v>899</v>
      </c>
      <c r="B901" s="6" t="s">
        <v>468</v>
      </c>
      <c r="C901" s="6" t="s">
        <v>300</v>
      </c>
      <c r="D901" s="6" t="s">
        <v>469</v>
      </c>
      <c r="E901" s="6" t="s">
        <v>32</v>
      </c>
    </row>
    <row r="902" spans="1:5" ht="30" customHeight="1">
      <c r="A902" s="6">
        <v>900</v>
      </c>
      <c r="B902" s="6" t="s">
        <v>470</v>
      </c>
      <c r="C902" s="6" t="s">
        <v>300</v>
      </c>
      <c r="D902" s="6" t="s">
        <v>471</v>
      </c>
      <c r="E902" s="6" t="s">
        <v>32</v>
      </c>
    </row>
    <row r="903" spans="1:5" ht="30" customHeight="1">
      <c r="A903" s="6">
        <v>901</v>
      </c>
      <c r="B903" s="6" t="s">
        <v>472</v>
      </c>
      <c r="C903" s="6" t="s">
        <v>300</v>
      </c>
      <c r="D903" s="6" t="s">
        <v>473</v>
      </c>
      <c r="E903" s="6" t="s">
        <v>32</v>
      </c>
    </row>
    <row r="904" spans="1:5" ht="30" customHeight="1">
      <c r="A904" s="6">
        <v>902</v>
      </c>
      <c r="B904" s="6" t="s">
        <v>474</v>
      </c>
      <c r="C904" s="6" t="s">
        <v>300</v>
      </c>
      <c r="D904" s="6" t="s">
        <v>475</v>
      </c>
      <c r="E904" s="6" t="s">
        <v>32</v>
      </c>
    </row>
    <row r="905" spans="1:5" ht="30" customHeight="1">
      <c r="A905" s="6">
        <v>903</v>
      </c>
      <c r="B905" s="6" t="s">
        <v>476</v>
      </c>
      <c r="C905" s="6" t="s">
        <v>300</v>
      </c>
      <c r="D905" s="6" t="s">
        <v>477</v>
      </c>
      <c r="E905" s="6" t="s">
        <v>32</v>
      </c>
    </row>
    <row r="906" spans="1:5" ht="30" customHeight="1">
      <c r="A906" s="6">
        <v>904</v>
      </c>
      <c r="B906" s="6" t="s">
        <v>478</v>
      </c>
      <c r="C906" s="6" t="s">
        <v>300</v>
      </c>
      <c r="D906" s="6" t="s">
        <v>479</v>
      </c>
      <c r="E906" s="6" t="s">
        <v>32</v>
      </c>
    </row>
    <row r="907" spans="1:5" ht="30" customHeight="1">
      <c r="A907" s="6">
        <v>905</v>
      </c>
      <c r="B907" s="6" t="s">
        <v>480</v>
      </c>
      <c r="C907" s="6" t="s">
        <v>300</v>
      </c>
      <c r="D907" s="6" t="s">
        <v>481</v>
      </c>
      <c r="E907" s="6" t="s">
        <v>32</v>
      </c>
    </row>
    <row r="908" spans="1:5" ht="30" customHeight="1">
      <c r="A908" s="6">
        <v>906</v>
      </c>
      <c r="B908" s="6" t="s">
        <v>482</v>
      </c>
      <c r="C908" s="6" t="s">
        <v>300</v>
      </c>
      <c r="D908" s="6" t="s">
        <v>483</v>
      </c>
      <c r="E908" s="6" t="s">
        <v>32</v>
      </c>
    </row>
    <row r="909" spans="1:5" ht="30" customHeight="1">
      <c r="A909" s="6">
        <v>907</v>
      </c>
      <c r="B909" s="6" t="s">
        <v>484</v>
      </c>
      <c r="C909" s="6" t="s">
        <v>300</v>
      </c>
      <c r="D909" s="6" t="s">
        <v>485</v>
      </c>
      <c r="E909" s="6" t="s">
        <v>32</v>
      </c>
    </row>
    <row r="910" spans="1:5" ht="30" customHeight="1">
      <c r="A910" s="6">
        <v>908</v>
      </c>
      <c r="B910" s="6" t="s">
        <v>486</v>
      </c>
      <c r="C910" s="6" t="s">
        <v>300</v>
      </c>
      <c r="D910" s="6" t="s">
        <v>487</v>
      </c>
      <c r="E910" s="6" t="s">
        <v>32</v>
      </c>
    </row>
    <row r="911" spans="1:5" ht="30" customHeight="1">
      <c r="A911" s="6">
        <v>909</v>
      </c>
      <c r="B911" s="6" t="s">
        <v>488</v>
      </c>
      <c r="C911" s="6" t="s">
        <v>300</v>
      </c>
      <c r="D911" s="6" t="s">
        <v>489</v>
      </c>
      <c r="E911" s="6" t="s">
        <v>32</v>
      </c>
    </row>
    <row r="912" spans="1:5" ht="30" customHeight="1">
      <c r="A912" s="6">
        <v>910</v>
      </c>
      <c r="B912" s="6" t="s">
        <v>490</v>
      </c>
      <c r="C912" s="6" t="s">
        <v>300</v>
      </c>
      <c r="D912" s="6" t="s">
        <v>491</v>
      </c>
      <c r="E912" s="6" t="s">
        <v>32</v>
      </c>
    </row>
    <row r="913" spans="1:5" ht="30" customHeight="1">
      <c r="A913" s="6">
        <v>911</v>
      </c>
      <c r="B913" s="6" t="s">
        <v>492</v>
      </c>
      <c r="C913" s="6" t="s">
        <v>300</v>
      </c>
      <c r="D913" s="6" t="s">
        <v>493</v>
      </c>
      <c r="E913" s="6" t="s">
        <v>32</v>
      </c>
    </row>
    <row r="914" spans="1:5" ht="30" customHeight="1">
      <c r="A914" s="6">
        <v>912</v>
      </c>
      <c r="B914" s="6" t="s">
        <v>494</v>
      </c>
      <c r="C914" s="6" t="s">
        <v>300</v>
      </c>
      <c r="D914" s="6" t="s">
        <v>495</v>
      </c>
      <c r="E914" s="6" t="s">
        <v>15</v>
      </c>
    </row>
    <row r="915" spans="1:5" ht="30" customHeight="1">
      <c r="A915" s="6">
        <v>913</v>
      </c>
      <c r="B915" s="6" t="s">
        <v>496</v>
      </c>
      <c r="C915" s="6" t="s">
        <v>300</v>
      </c>
      <c r="D915" s="6" t="s">
        <v>497</v>
      </c>
      <c r="E915" s="6" t="s">
        <v>32</v>
      </c>
    </row>
    <row r="916" spans="1:5" ht="30" customHeight="1">
      <c r="A916" s="6">
        <v>914</v>
      </c>
      <c r="B916" s="6" t="s">
        <v>498</v>
      </c>
      <c r="C916" s="6" t="s">
        <v>300</v>
      </c>
      <c r="D916" s="6" t="s">
        <v>499</v>
      </c>
      <c r="E916" s="6" t="s">
        <v>15</v>
      </c>
    </row>
    <row r="917" spans="1:5" ht="30" customHeight="1">
      <c r="A917" s="6">
        <v>915</v>
      </c>
      <c r="B917" s="6" t="s">
        <v>500</v>
      </c>
      <c r="C917" s="6" t="s">
        <v>300</v>
      </c>
      <c r="D917" s="6" t="s">
        <v>501</v>
      </c>
      <c r="E917" s="6" t="s">
        <v>32</v>
      </c>
    </row>
    <row r="918" spans="1:5" ht="30" customHeight="1">
      <c r="A918" s="6">
        <v>916</v>
      </c>
      <c r="B918" s="6" t="s">
        <v>502</v>
      </c>
      <c r="C918" s="6" t="s">
        <v>300</v>
      </c>
      <c r="D918" s="6" t="s">
        <v>503</v>
      </c>
      <c r="E918" s="6" t="s">
        <v>32</v>
      </c>
    </row>
    <row r="919" spans="1:5" ht="30" customHeight="1">
      <c r="A919" s="6">
        <v>917</v>
      </c>
      <c r="B919" s="6" t="s">
        <v>504</v>
      </c>
      <c r="C919" s="6" t="s">
        <v>300</v>
      </c>
      <c r="D919" s="6" t="s">
        <v>505</v>
      </c>
      <c r="E919" s="6" t="s">
        <v>32</v>
      </c>
    </row>
    <row r="920" spans="1:5" ht="30" customHeight="1">
      <c r="A920" s="6">
        <v>918</v>
      </c>
      <c r="B920" s="6" t="s">
        <v>506</v>
      </c>
      <c r="C920" s="6" t="s">
        <v>300</v>
      </c>
      <c r="D920" s="6" t="s">
        <v>507</v>
      </c>
      <c r="E920" s="6" t="s">
        <v>32</v>
      </c>
    </row>
    <row r="921" spans="1:5" ht="30" customHeight="1">
      <c r="A921" s="6">
        <v>919</v>
      </c>
      <c r="B921" s="6" t="s">
        <v>508</v>
      </c>
      <c r="C921" s="6" t="s">
        <v>300</v>
      </c>
      <c r="D921" s="6" t="s">
        <v>509</v>
      </c>
      <c r="E921" s="6" t="s">
        <v>32</v>
      </c>
    </row>
    <row r="922" spans="1:5" ht="30" customHeight="1">
      <c r="A922" s="6">
        <v>920</v>
      </c>
      <c r="B922" s="6" t="s">
        <v>510</v>
      </c>
      <c r="C922" s="6" t="s">
        <v>300</v>
      </c>
      <c r="D922" s="6" t="s">
        <v>511</v>
      </c>
      <c r="E922" s="6" t="s">
        <v>15</v>
      </c>
    </row>
    <row r="923" spans="1:5" ht="30" customHeight="1">
      <c r="A923" s="6">
        <v>921</v>
      </c>
      <c r="B923" s="6" t="s">
        <v>512</v>
      </c>
      <c r="C923" s="6" t="s">
        <v>300</v>
      </c>
      <c r="D923" s="6" t="s">
        <v>513</v>
      </c>
      <c r="E923" s="6" t="s">
        <v>32</v>
      </c>
    </row>
    <row r="924" spans="1:5" ht="30" customHeight="1">
      <c r="A924" s="6">
        <v>922</v>
      </c>
      <c r="B924" s="6" t="s">
        <v>514</v>
      </c>
      <c r="C924" s="6" t="s">
        <v>300</v>
      </c>
      <c r="D924" s="6" t="s">
        <v>515</v>
      </c>
      <c r="E924" s="6" t="s">
        <v>32</v>
      </c>
    </row>
    <row r="925" spans="1:5" ht="30" customHeight="1">
      <c r="A925" s="6">
        <v>923</v>
      </c>
      <c r="B925" s="6" t="s">
        <v>516</v>
      </c>
      <c r="C925" s="6" t="s">
        <v>300</v>
      </c>
      <c r="D925" s="6" t="s">
        <v>517</v>
      </c>
      <c r="E925" s="6" t="s">
        <v>32</v>
      </c>
    </row>
    <row r="926" spans="1:5" ht="30" customHeight="1">
      <c r="A926" s="6">
        <v>924</v>
      </c>
      <c r="B926" s="6" t="s">
        <v>518</v>
      </c>
      <c r="C926" s="6" t="s">
        <v>300</v>
      </c>
      <c r="D926" s="6" t="s">
        <v>519</v>
      </c>
      <c r="E926" s="6" t="s">
        <v>15</v>
      </c>
    </row>
    <row r="927" spans="1:5" ht="30" customHeight="1">
      <c r="A927" s="6">
        <v>925</v>
      </c>
      <c r="B927" s="6" t="s">
        <v>520</v>
      </c>
      <c r="C927" s="6" t="s">
        <v>300</v>
      </c>
      <c r="D927" s="6" t="s">
        <v>521</v>
      </c>
      <c r="E927" s="6" t="s">
        <v>32</v>
      </c>
    </row>
    <row r="928" spans="1:5" ht="30" customHeight="1">
      <c r="A928" s="6">
        <v>926</v>
      </c>
      <c r="B928" s="6" t="s">
        <v>522</v>
      </c>
      <c r="C928" s="6" t="s">
        <v>300</v>
      </c>
      <c r="D928" s="6" t="s">
        <v>523</v>
      </c>
      <c r="E928" s="6" t="s">
        <v>15</v>
      </c>
    </row>
    <row r="929" spans="1:5" ht="30" customHeight="1">
      <c r="A929" s="6">
        <v>927</v>
      </c>
      <c r="B929" s="6" t="s">
        <v>524</v>
      </c>
      <c r="C929" s="6" t="s">
        <v>300</v>
      </c>
      <c r="D929" s="6" t="s">
        <v>525</v>
      </c>
      <c r="E929" s="6" t="s">
        <v>32</v>
      </c>
    </row>
    <row r="930" spans="1:5" ht="30" customHeight="1">
      <c r="A930" s="6">
        <v>928</v>
      </c>
      <c r="B930" s="6" t="s">
        <v>526</v>
      </c>
      <c r="C930" s="6" t="s">
        <v>300</v>
      </c>
      <c r="D930" s="6" t="s">
        <v>527</v>
      </c>
      <c r="E930" s="6" t="s">
        <v>32</v>
      </c>
    </row>
    <row r="931" spans="1:5" ht="30" customHeight="1">
      <c r="A931" s="6">
        <v>929</v>
      </c>
      <c r="B931" s="6" t="s">
        <v>528</v>
      </c>
      <c r="C931" s="6" t="s">
        <v>300</v>
      </c>
      <c r="D931" s="6" t="s">
        <v>529</v>
      </c>
      <c r="E931" s="6" t="s">
        <v>32</v>
      </c>
    </row>
    <row r="932" spans="1:5" ht="30" customHeight="1">
      <c r="A932" s="6">
        <v>930</v>
      </c>
      <c r="B932" s="6" t="s">
        <v>530</v>
      </c>
      <c r="C932" s="6" t="s">
        <v>300</v>
      </c>
      <c r="D932" s="6" t="s">
        <v>531</v>
      </c>
      <c r="E932" s="6" t="s">
        <v>32</v>
      </c>
    </row>
    <row r="933" spans="1:5" ht="30" customHeight="1">
      <c r="A933" s="6">
        <v>931</v>
      </c>
      <c r="B933" s="6" t="s">
        <v>532</v>
      </c>
      <c r="C933" s="6" t="s">
        <v>300</v>
      </c>
      <c r="D933" s="6" t="s">
        <v>533</v>
      </c>
      <c r="E933" s="6" t="s">
        <v>32</v>
      </c>
    </row>
    <row r="934" spans="1:5" ht="30" customHeight="1">
      <c r="A934" s="6">
        <v>932</v>
      </c>
      <c r="B934" s="6" t="s">
        <v>534</v>
      </c>
      <c r="C934" s="6" t="s">
        <v>300</v>
      </c>
      <c r="D934" s="6" t="s">
        <v>535</v>
      </c>
      <c r="E934" s="6" t="s">
        <v>32</v>
      </c>
    </row>
    <row r="935" spans="1:5" ht="30" customHeight="1">
      <c r="A935" s="6">
        <v>933</v>
      </c>
      <c r="B935" s="6" t="s">
        <v>536</v>
      </c>
      <c r="C935" s="6" t="s">
        <v>300</v>
      </c>
      <c r="D935" s="6" t="s">
        <v>537</v>
      </c>
      <c r="E935" s="6" t="s">
        <v>32</v>
      </c>
    </row>
    <row r="936" spans="1:5" ht="30" customHeight="1">
      <c r="A936" s="6">
        <v>934</v>
      </c>
      <c r="B936" s="6" t="s">
        <v>538</v>
      </c>
      <c r="C936" s="6" t="s">
        <v>300</v>
      </c>
      <c r="D936" s="6" t="s">
        <v>539</v>
      </c>
      <c r="E936" s="6" t="s">
        <v>32</v>
      </c>
    </row>
    <row r="937" spans="1:5" ht="30" customHeight="1">
      <c r="A937" s="6">
        <v>935</v>
      </c>
      <c r="B937" s="6" t="s">
        <v>540</v>
      </c>
      <c r="C937" s="6" t="s">
        <v>300</v>
      </c>
      <c r="D937" s="6" t="s">
        <v>541</v>
      </c>
      <c r="E937" s="6" t="s">
        <v>32</v>
      </c>
    </row>
    <row r="938" spans="1:5" ht="30" customHeight="1">
      <c r="A938" s="6">
        <v>936</v>
      </c>
      <c r="B938" s="6" t="s">
        <v>542</v>
      </c>
      <c r="C938" s="6" t="s">
        <v>300</v>
      </c>
      <c r="D938" s="6" t="s">
        <v>543</v>
      </c>
      <c r="E938" s="6" t="s">
        <v>32</v>
      </c>
    </row>
    <row r="939" spans="1:5" ht="30" customHeight="1">
      <c r="A939" s="6">
        <v>937</v>
      </c>
      <c r="B939" s="6" t="s">
        <v>544</v>
      </c>
      <c r="C939" s="6" t="s">
        <v>300</v>
      </c>
      <c r="D939" s="6" t="s">
        <v>545</v>
      </c>
      <c r="E939" s="6" t="s">
        <v>32</v>
      </c>
    </row>
    <row r="940" spans="1:5" ht="30" customHeight="1">
      <c r="A940" s="6">
        <v>938</v>
      </c>
      <c r="B940" s="6" t="s">
        <v>546</v>
      </c>
      <c r="C940" s="6" t="s">
        <v>300</v>
      </c>
      <c r="D940" s="6" t="s">
        <v>547</v>
      </c>
      <c r="E940" s="6" t="s">
        <v>32</v>
      </c>
    </row>
    <row r="941" spans="1:5" ht="30" customHeight="1">
      <c r="A941" s="6">
        <v>939</v>
      </c>
      <c r="B941" s="6" t="s">
        <v>548</v>
      </c>
      <c r="C941" s="6" t="s">
        <v>300</v>
      </c>
      <c r="D941" s="6" t="s">
        <v>549</v>
      </c>
      <c r="E941" s="6" t="s">
        <v>32</v>
      </c>
    </row>
    <row r="942" spans="1:5" ht="30" customHeight="1">
      <c r="A942" s="6">
        <v>940</v>
      </c>
      <c r="B942" s="6" t="s">
        <v>550</v>
      </c>
      <c r="C942" s="6" t="s">
        <v>300</v>
      </c>
      <c r="D942" s="6" t="s">
        <v>551</v>
      </c>
      <c r="E942" s="6" t="s">
        <v>15</v>
      </c>
    </row>
    <row r="943" spans="1:5" ht="30" customHeight="1">
      <c r="A943" s="6">
        <v>941</v>
      </c>
      <c r="B943" s="6" t="str">
        <f>"299420210525090251104256"</f>
        <v>299420210525090251104256</v>
      </c>
      <c r="C943" s="6" t="s">
        <v>552</v>
      </c>
      <c r="D943" s="6" t="str">
        <f>"王少换"</f>
        <v>王少换</v>
      </c>
      <c r="E943" s="6" t="str">
        <f aca="true" t="shared" si="27" ref="E943:E997">"女"</f>
        <v>女</v>
      </c>
    </row>
    <row r="944" spans="1:5" ht="30" customHeight="1">
      <c r="A944" s="6">
        <v>942</v>
      </c>
      <c r="B944" s="6" t="str">
        <f>"299420210525090254104257"</f>
        <v>299420210525090254104257</v>
      </c>
      <c r="C944" s="6" t="s">
        <v>552</v>
      </c>
      <c r="D944" s="6" t="str">
        <f>"吴雪菲"</f>
        <v>吴雪菲</v>
      </c>
      <c r="E944" s="6" t="str">
        <f t="shared" si="27"/>
        <v>女</v>
      </c>
    </row>
    <row r="945" spans="1:5" ht="30" customHeight="1">
      <c r="A945" s="6">
        <v>943</v>
      </c>
      <c r="B945" s="6" t="str">
        <f>"299420210525090324104262"</f>
        <v>299420210525090324104262</v>
      </c>
      <c r="C945" s="6" t="s">
        <v>552</v>
      </c>
      <c r="D945" s="6" t="str">
        <f>"王敏晶"</f>
        <v>王敏晶</v>
      </c>
      <c r="E945" s="6" t="str">
        <f t="shared" si="27"/>
        <v>女</v>
      </c>
    </row>
    <row r="946" spans="1:5" ht="30" customHeight="1">
      <c r="A946" s="6">
        <v>944</v>
      </c>
      <c r="B946" s="6" t="str">
        <f>"299420210525090759104292"</f>
        <v>299420210525090759104292</v>
      </c>
      <c r="C946" s="6" t="s">
        <v>552</v>
      </c>
      <c r="D946" s="6" t="str">
        <f>"黄佳佳"</f>
        <v>黄佳佳</v>
      </c>
      <c r="E946" s="6" t="str">
        <f t="shared" si="27"/>
        <v>女</v>
      </c>
    </row>
    <row r="947" spans="1:5" ht="30" customHeight="1">
      <c r="A947" s="6">
        <v>945</v>
      </c>
      <c r="B947" s="6" t="str">
        <f>"299420210525090827104294"</f>
        <v>299420210525090827104294</v>
      </c>
      <c r="C947" s="6" t="s">
        <v>552</v>
      </c>
      <c r="D947" s="6" t="str">
        <f>"杨桂佳"</f>
        <v>杨桂佳</v>
      </c>
      <c r="E947" s="6" t="str">
        <f t="shared" si="27"/>
        <v>女</v>
      </c>
    </row>
    <row r="948" spans="1:5" ht="30" customHeight="1">
      <c r="A948" s="6">
        <v>946</v>
      </c>
      <c r="B948" s="6" t="str">
        <f>"299420210525091154104322"</f>
        <v>299420210525091154104322</v>
      </c>
      <c r="C948" s="6" t="s">
        <v>552</v>
      </c>
      <c r="D948" s="6" t="str">
        <f>"王嫚妮"</f>
        <v>王嫚妮</v>
      </c>
      <c r="E948" s="6" t="str">
        <f t="shared" si="27"/>
        <v>女</v>
      </c>
    </row>
    <row r="949" spans="1:5" ht="30" customHeight="1">
      <c r="A949" s="6">
        <v>947</v>
      </c>
      <c r="B949" s="6" t="str">
        <f>"299420210525091230104326"</f>
        <v>299420210525091230104326</v>
      </c>
      <c r="C949" s="6" t="s">
        <v>552</v>
      </c>
      <c r="D949" s="6" t="str">
        <f>"陈夏旋"</f>
        <v>陈夏旋</v>
      </c>
      <c r="E949" s="6" t="str">
        <f t="shared" si="27"/>
        <v>女</v>
      </c>
    </row>
    <row r="950" spans="1:5" ht="30" customHeight="1">
      <c r="A950" s="6">
        <v>948</v>
      </c>
      <c r="B950" s="6" t="str">
        <f>"299420210525091343104334"</f>
        <v>299420210525091343104334</v>
      </c>
      <c r="C950" s="6" t="s">
        <v>552</v>
      </c>
      <c r="D950" s="6" t="str">
        <f>"叶春伶"</f>
        <v>叶春伶</v>
      </c>
      <c r="E950" s="6" t="str">
        <f t="shared" si="27"/>
        <v>女</v>
      </c>
    </row>
    <row r="951" spans="1:5" ht="30" customHeight="1">
      <c r="A951" s="6">
        <v>949</v>
      </c>
      <c r="B951" s="6" t="str">
        <f>"299420210525091442104338"</f>
        <v>299420210525091442104338</v>
      </c>
      <c r="C951" s="6" t="s">
        <v>552</v>
      </c>
      <c r="D951" s="6" t="str">
        <f>"黄仍"</f>
        <v>黄仍</v>
      </c>
      <c r="E951" s="6" t="str">
        <f t="shared" si="27"/>
        <v>女</v>
      </c>
    </row>
    <row r="952" spans="1:5" ht="30" customHeight="1">
      <c r="A952" s="6">
        <v>950</v>
      </c>
      <c r="B952" s="6" t="str">
        <f>"299420210525091506104342"</f>
        <v>299420210525091506104342</v>
      </c>
      <c r="C952" s="6" t="s">
        <v>552</v>
      </c>
      <c r="D952" s="6" t="str">
        <f>"黄欢怡"</f>
        <v>黄欢怡</v>
      </c>
      <c r="E952" s="6" t="str">
        <f t="shared" si="27"/>
        <v>女</v>
      </c>
    </row>
    <row r="953" spans="1:5" ht="30" customHeight="1">
      <c r="A953" s="6">
        <v>951</v>
      </c>
      <c r="B953" s="6" t="str">
        <f>"299420210525091646104351"</f>
        <v>299420210525091646104351</v>
      </c>
      <c r="C953" s="6" t="s">
        <v>552</v>
      </c>
      <c r="D953" s="6" t="str">
        <f>"左春燕"</f>
        <v>左春燕</v>
      </c>
      <c r="E953" s="6" t="str">
        <f t="shared" si="27"/>
        <v>女</v>
      </c>
    </row>
    <row r="954" spans="1:5" ht="30" customHeight="1">
      <c r="A954" s="6">
        <v>952</v>
      </c>
      <c r="B954" s="6" t="str">
        <f>"299420210525091649104352"</f>
        <v>299420210525091649104352</v>
      </c>
      <c r="C954" s="6" t="s">
        <v>552</v>
      </c>
      <c r="D954" s="6" t="str">
        <f>"林芬"</f>
        <v>林芬</v>
      </c>
      <c r="E954" s="6" t="str">
        <f t="shared" si="27"/>
        <v>女</v>
      </c>
    </row>
    <row r="955" spans="1:5" ht="30" customHeight="1">
      <c r="A955" s="6">
        <v>953</v>
      </c>
      <c r="B955" s="6" t="str">
        <f>"299420210525091651104354"</f>
        <v>299420210525091651104354</v>
      </c>
      <c r="C955" s="6" t="s">
        <v>552</v>
      </c>
      <c r="D955" s="6" t="str">
        <f>"张小晶"</f>
        <v>张小晶</v>
      </c>
      <c r="E955" s="6" t="str">
        <f t="shared" si="27"/>
        <v>女</v>
      </c>
    </row>
    <row r="956" spans="1:5" ht="30" customHeight="1">
      <c r="A956" s="6">
        <v>954</v>
      </c>
      <c r="B956" s="6" t="str">
        <f>"299420210525091727104356"</f>
        <v>299420210525091727104356</v>
      </c>
      <c r="C956" s="6" t="s">
        <v>552</v>
      </c>
      <c r="D956" s="6" t="str">
        <f>"羊彩梦"</f>
        <v>羊彩梦</v>
      </c>
      <c r="E956" s="6" t="str">
        <f t="shared" si="27"/>
        <v>女</v>
      </c>
    </row>
    <row r="957" spans="1:5" ht="30" customHeight="1">
      <c r="A957" s="6">
        <v>955</v>
      </c>
      <c r="B957" s="6" t="str">
        <f>"299420210525091837104361"</f>
        <v>299420210525091837104361</v>
      </c>
      <c r="C957" s="6" t="s">
        <v>552</v>
      </c>
      <c r="D957" s="6" t="str">
        <f>"杜菲玲"</f>
        <v>杜菲玲</v>
      </c>
      <c r="E957" s="6" t="str">
        <f t="shared" si="27"/>
        <v>女</v>
      </c>
    </row>
    <row r="958" spans="1:5" ht="30" customHeight="1">
      <c r="A958" s="6">
        <v>956</v>
      </c>
      <c r="B958" s="6" t="str">
        <f>"299420210525091910104366"</f>
        <v>299420210525091910104366</v>
      </c>
      <c r="C958" s="6" t="s">
        <v>552</v>
      </c>
      <c r="D958" s="6" t="str">
        <f>"王利佳"</f>
        <v>王利佳</v>
      </c>
      <c r="E958" s="6" t="str">
        <f t="shared" si="27"/>
        <v>女</v>
      </c>
    </row>
    <row r="959" spans="1:5" ht="30" customHeight="1">
      <c r="A959" s="6">
        <v>957</v>
      </c>
      <c r="B959" s="6" t="str">
        <f>"299420210525092043104374"</f>
        <v>299420210525092043104374</v>
      </c>
      <c r="C959" s="6" t="s">
        <v>552</v>
      </c>
      <c r="D959" s="6" t="str">
        <f>"黄媛媛"</f>
        <v>黄媛媛</v>
      </c>
      <c r="E959" s="6" t="str">
        <f t="shared" si="27"/>
        <v>女</v>
      </c>
    </row>
    <row r="960" spans="1:5" ht="30" customHeight="1">
      <c r="A960" s="6">
        <v>958</v>
      </c>
      <c r="B960" s="6" t="str">
        <f>"299420210525092055104375"</f>
        <v>299420210525092055104375</v>
      </c>
      <c r="C960" s="6" t="s">
        <v>552</v>
      </c>
      <c r="D960" s="6" t="str">
        <f>"秦巧慧"</f>
        <v>秦巧慧</v>
      </c>
      <c r="E960" s="6" t="str">
        <f t="shared" si="27"/>
        <v>女</v>
      </c>
    </row>
    <row r="961" spans="1:5" ht="30" customHeight="1">
      <c r="A961" s="6">
        <v>959</v>
      </c>
      <c r="B961" s="6" t="str">
        <f>"299420210525092124104381"</f>
        <v>299420210525092124104381</v>
      </c>
      <c r="C961" s="6" t="s">
        <v>552</v>
      </c>
      <c r="D961" s="6" t="str">
        <f>"陈清柳"</f>
        <v>陈清柳</v>
      </c>
      <c r="E961" s="6" t="str">
        <f t="shared" si="27"/>
        <v>女</v>
      </c>
    </row>
    <row r="962" spans="1:5" ht="30" customHeight="1">
      <c r="A962" s="6">
        <v>960</v>
      </c>
      <c r="B962" s="6" t="str">
        <f>"299420210525092138104382"</f>
        <v>299420210525092138104382</v>
      </c>
      <c r="C962" s="6" t="s">
        <v>552</v>
      </c>
      <c r="D962" s="6" t="str">
        <f>"何日丽"</f>
        <v>何日丽</v>
      </c>
      <c r="E962" s="6" t="str">
        <f t="shared" si="27"/>
        <v>女</v>
      </c>
    </row>
    <row r="963" spans="1:5" ht="30" customHeight="1">
      <c r="A963" s="6">
        <v>961</v>
      </c>
      <c r="B963" s="6" t="str">
        <f>"299420210525092301104386"</f>
        <v>299420210525092301104386</v>
      </c>
      <c r="C963" s="6" t="s">
        <v>552</v>
      </c>
      <c r="D963" s="6" t="str">
        <f>"秦青"</f>
        <v>秦青</v>
      </c>
      <c r="E963" s="6" t="str">
        <f t="shared" si="27"/>
        <v>女</v>
      </c>
    </row>
    <row r="964" spans="1:5" ht="30" customHeight="1">
      <c r="A964" s="6">
        <v>962</v>
      </c>
      <c r="B964" s="6" t="str">
        <f>"299420210525092530104402"</f>
        <v>299420210525092530104402</v>
      </c>
      <c r="C964" s="6" t="s">
        <v>552</v>
      </c>
      <c r="D964" s="6" t="str">
        <f>"王茹"</f>
        <v>王茹</v>
      </c>
      <c r="E964" s="6" t="str">
        <f t="shared" si="27"/>
        <v>女</v>
      </c>
    </row>
    <row r="965" spans="1:5" ht="30" customHeight="1">
      <c r="A965" s="6">
        <v>963</v>
      </c>
      <c r="B965" s="6" t="str">
        <f>"299420210525092719104410"</f>
        <v>299420210525092719104410</v>
      </c>
      <c r="C965" s="6" t="s">
        <v>552</v>
      </c>
      <c r="D965" s="6" t="str">
        <f>"布蕾"</f>
        <v>布蕾</v>
      </c>
      <c r="E965" s="6" t="str">
        <f t="shared" si="27"/>
        <v>女</v>
      </c>
    </row>
    <row r="966" spans="1:5" ht="30" customHeight="1">
      <c r="A966" s="6">
        <v>964</v>
      </c>
      <c r="B966" s="6" t="str">
        <f>"299420210525092739104412"</f>
        <v>299420210525092739104412</v>
      </c>
      <c r="C966" s="6" t="s">
        <v>552</v>
      </c>
      <c r="D966" s="6" t="str">
        <f>"黄珍"</f>
        <v>黄珍</v>
      </c>
      <c r="E966" s="6" t="str">
        <f t="shared" si="27"/>
        <v>女</v>
      </c>
    </row>
    <row r="967" spans="1:5" ht="30" customHeight="1">
      <c r="A967" s="6">
        <v>965</v>
      </c>
      <c r="B967" s="6" t="str">
        <f>"299420210525092812104418"</f>
        <v>299420210525092812104418</v>
      </c>
      <c r="C967" s="6" t="s">
        <v>552</v>
      </c>
      <c r="D967" s="6" t="str">
        <f>"曾婷"</f>
        <v>曾婷</v>
      </c>
      <c r="E967" s="6" t="str">
        <f t="shared" si="27"/>
        <v>女</v>
      </c>
    </row>
    <row r="968" spans="1:5" ht="30" customHeight="1">
      <c r="A968" s="6">
        <v>966</v>
      </c>
      <c r="B968" s="6" t="str">
        <f>"299420210525092936104422"</f>
        <v>299420210525092936104422</v>
      </c>
      <c r="C968" s="6" t="s">
        <v>552</v>
      </c>
      <c r="D968" s="6" t="str">
        <f>"高雪莹"</f>
        <v>高雪莹</v>
      </c>
      <c r="E968" s="6" t="str">
        <f t="shared" si="27"/>
        <v>女</v>
      </c>
    </row>
    <row r="969" spans="1:5" ht="30" customHeight="1">
      <c r="A969" s="6">
        <v>967</v>
      </c>
      <c r="B969" s="6" t="str">
        <f>"299420210525093200104432"</f>
        <v>299420210525093200104432</v>
      </c>
      <c r="C969" s="6" t="s">
        <v>552</v>
      </c>
      <c r="D969" s="6" t="str">
        <f>"符妍莲"</f>
        <v>符妍莲</v>
      </c>
      <c r="E969" s="6" t="str">
        <f t="shared" si="27"/>
        <v>女</v>
      </c>
    </row>
    <row r="970" spans="1:5" ht="30" customHeight="1">
      <c r="A970" s="6">
        <v>968</v>
      </c>
      <c r="B970" s="6" t="str">
        <f>"299420210525093250104435"</f>
        <v>299420210525093250104435</v>
      </c>
      <c r="C970" s="6" t="s">
        <v>552</v>
      </c>
      <c r="D970" s="6" t="str">
        <f>"王和香"</f>
        <v>王和香</v>
      </c>
      <c r="E970" s="6" t="str">
        <f t="shared" si="27"/>
        <v>女</v>
      </c>
    </row>
    <row r="971" spans="1:5" ht="30" customHeight="1">
      <c r="A971" s="6">
        <v>969</v>
      </c>
      <c r="B971" s="6" t="str">
        <f>"299420210525093308104438"</f>
        <v>299420210525093308104438</v>
      </c>
      <c r="C971" s="6" t="s">
        <v>552</v>
      </c>
      <c r="D971" s="6" t="str">
        <f>"黎菊女"</f>
        <v>黎菊女</v>
      </c>
      <c r="E971" s="6" t="str">
        <f t="shared" si="27"/>
        <v>女</v>
      </c>
    </row>
    <row r="972" spans="1:5" ht="30" customHeight="1">
      <c r="A972" s="6">
        <v>970</v>
      </c>
      <c r="B972" s="6" t="str">
        <f>"299420210525093612104458"</f>
        <v>299420210525093612104458</v>
      </c>
      <c r="C972" s="6" t="s">
        <v>552</v>
      </c>
      <c r="D972" s="6" t="str">
        <f>"黎兴芳"</f>
        <v>黎兴芳</v>
      </c>
      <c r="E972" s="6" t="str">
        <f t="shared" si="27"/>
        <v>女</v>
      </c>
    </row>
    <row r="973" spans="1:5" ht="30" customHeight="1">
      <c r="A973" s="6">
        <v>971</v>
      </c>
      <c r="B973" s="6" t="str">
        <f>"299420210525093731104466"</f>
        <v>299420210525093731104466</v>
      </c>
      <c r="C973" s="6" t="s">
        <v>552</v>
      </c>
      <c r="D973" s="6" t="str">
        <f>"王智芳"</f>
        <v>王智芳</v>
      </c>
      <c r="E973" s="6" t="str">
        <f t="shared" si="27"/>
        <v>女</v>
      </c>
    </row>
    <row r="974" spans="1:5" ht="30" customHeight="1">
      <c r="A974" s="6">
        <v>972</v>
      </c>
      <c r="B974" s="6" t="str">
        <f>"299420210525093856104475"</f>
        <v>299420210525093856104475</v>
      </c>
      <c r="C974" s="6" t="s">
        <v>552</v>
      </c>
      <c r="D974" s="6" t="str">
        <f>"陈琼静"</f>
        <v>陈琼静</v>
      </c>
      <c r="E974" s="6" t="str">
        <f t="shared" si="27"/>
        <v>女</v>
      </c>
    </row>
    <row r="975" spans="1:5" ht="30" customHeight="1">
      <c r="A975" s="6">
        <v>973</v>
      </c>
      <c r="B975" s="6" t="str">
        <f>"299420210525094117104483"</f>
        <v>299420210525094117104483</v>
      </c>
      <c r="C975" s="6" t="s">
        <v>552</v>
      </c>
      <c r="D975" s="6" t="str">
        <f>"蔡玉玲"</f>
        <v>蔡玉玲</v>
      </c>
      <c r="E975" s="6" t="str">
        <f t="shared" si="27"/>
        <v>女</v>
      </c>
    </row>
    <row r="976" spans="1:5" ht="30" customHeight="1">
      <c r="A976" s="6">
        <v>974</v>
      </c>
      <c r="B976" s="6" t="str">
        <f>"299420210525094149104489"</f>
        <v>299420210525094149104489</v>
      </c>
      <c r="C976" s="6" t="s">
        <v>552</v>
      </c>
      <c r="D976" s="6" t="str">
        <f>"陈日映"</f>
        <v>陈日映</v>
      </c>
      <c r="E976" s="6" t="str">
        <f t="shared" si="27"/>
        <v>女</v>
      </c>
    </row>
    <row r="977" spans="1:5" ht="30" customHeight="1">
      <c r="A977" s="6">
        <v>975</v>
      </c>
      <c r="B977" s="6" t="str">
        <f>"299420210525094151104490"</f>
        <v>299420210525094151104490</v>
      </c>
      <c r="C977" s="6" t="s">
        <v>552</v>
      </c>
      <c r="D977" s="6" t="str">
        <f>"尹志敏"</f>
        <v>尹志敏</v>
      </c>
      <c r="E977" s="6" t="str">
        <f t="shared" si="27"/>
        <v>女</v>
      </c>
    </row>
    <row r="978" spans="1:5" ht="30" customHeight="1">
      <c r="A978" s="6">
        <v>976</v>
      </c>
      <c r="B978" s="6" t="str">
        <f>"299420210525094446104512"</f>
        <v>299420210525094446104512</v>
      </c>
      <c r="C978" s="6" t="s">
        <v>552</v>
      </c>
      <c r="D978" s="6" t="str">
        <f>"郭敏洁"</f>
        <v>郭敏洁</v>
      </c>
      <c r="E978" s="6" t="str">
        <f t="shared" si="27"/>
        <v>女</v>
      </c>
    </row>
    <row r="979" spans="1:5" ht="30" customHeight="1">
      <c r="A979" s="6">
        <v>977</v>
      </c>
      <c r="B979" s="6" t="str">
        <f>"299420210525094657104530"</f>
        <v>299420210525094657104530</v>
      </c>
      <c r="C979" s="6" t="s">
        <v>552</v>
      </c>
      <c r="D979" s="6" t="str">
        <f>"王亚南"</f>
        <v>王亚南</v>
      </c>
      <c r="E979" s="6" t="str">
        <f t="shared" si="27"/>
        <v>女</v>
      </c>
    </row>
    <row r="980" spans="1:5" ht="30" customHeight="1">
      <c r="A980" s="6">
        <v>978</v>
      </c>
      <c r="B980" s="6" t="str">
        <f>"299420210525094749104534"</f>
        <v>299420210525094749104534</v>
      </c>
      <c r="C980" s="6" t="s">
        <v>552</v>
      </c>
      <c r="D980" s="6" t="str">
        <f>"冯华"</f>
        <v>冯华</v>
      </c>
      <c r="E980" s="6" t="str">
        <f t="shared" si="27"/>
        <v>女</v>
      </c>
    </row>
    <row r="981" spans="1:5" ht="30" customHeight="1">
      <c r="A981" s="6">
        <v>979</v>
      </c>
      <c r="B981" s="6" t="str">
        <f>"299420210525094802104536"</f>
        <v>299420210525094802104536</v>
      </c>
      <c r="C981" s="6" t="s">
        <v>552</v>
      </c>
      <c r="D981" s="6" t="str">
        <f>"黄娓"</f>
        <v>黄娓</v>
      </c>
      <c r="E981" s="6" t="str">
        <f t="shared" si="27"/>
        <v>女</v>
      </c>
    </row>
    <row r="982" spans="1:5" ht="30" customHeight="1">
      <c r="A982" s="6">
        <v>980</v>
      </c>
      <c r="B982" s="6" t="str">
        <f>"299420210525095223104553"</f>
        <v>299420210525095223104553</v>
      </c>
      <c r="C982" s="6" t="s">
        <v>552</v>
      </c>
      <c r="D982" s="6" t="str">
        <f>"李玉梅"</f>
        <v>李玉梅</v>
      </c>
      <c r="E982" s="6" t="str">
        <f t="shared" si="27"/>
        <v>女</v>
      </c>
    </row>
    <row r="983" spans="1:5" ht="30" customHeight="1">
      <c r="A983" s="6">
        <v>981</v>
      </c>
      <c r="B983" s="6" t="str">
        <f>"299420210525095251104557"</f>
        <v>299420210525095251104557</v>
      </c>
      <c r="C983" s="6" t="s">
        <v>552</v>
      </c>
      <c r="D983" s="6" t="str">
        <f>"王日珠"</f>
        <v>王日珠</v>
      </c>
      <c r="E983" s="6" t="str">
        <f t="shared" si="27"/>
        <v>女</v>
      </c>
    </row>
    <row r="984" spans="1:5" ht="30" customHeight="1">
      <c r="A984" s="6">
        <v>982</v>
      </c>
      <c r="B984" s="6" t="str">
        <f>"299420210525095357104566"</f>
        <v>299420210525095357104566</v>
      </c>
      <c r="C984" s="6" t="s">
        <v>552</v>
      </c>
      <c r="D984" s="6" t="str">
        <f>"吴慧怡"</f>
        <v>吴慧怡</v>
      </c>
      <c r="E984" s="6" t="str">
        <f t="shared" si="27"/>
        <v>女</v>
      </c>
    </row>
    <row r="985" spans="1:5" ht="30" customHeight="1">
      <c r="A985" s="6">
        <v>983</v>
      </c>
      <c r="B985" s="6" t="str">
        <f>"299420210525095437104568"</f>
        <v>299420210525095437104568</v>
      </c>
      <c r="C985" s="6" t="s">
        <v>552</v>
      </c>
      <c r="D985" s="6" t="str">
        <f>"唐瑜"</f>
        <v>唐瑜</v>
      </c>
      <c r="E985" s="6" t="str">
        <f t="shared" si="27"/>
        <v>女</v>
      </c>
    </row>
    <row r="986" spans="1:5" ht="30" customHeight="1">
      <c r="A986" s="6">
        <v>984</v>
      </c>
      <c r="B986" s="6" t="str">
        <f>"299420210525095457104573"</f>
        <v>299420210525095457104573</v>
      </c>
      <c r="C986" s="6" t="s">
        <v>552</v>
      </c>
      <c r="D986" s="6" t="str">
        <f>"邢增菊"</f>
        <v>邢增菊</v>
      </c>
      <c r="E986" s="6" t="str">
        <f t="shared" si="27"/>
        <v>女</v>
      </c>
    </row>
    <row r="987" spans="1:5" ht="30" customHeight="1">
      <c r="A987" s="6">
        <v>985</v>
      </c>
      <c r="B987" s="6" t="str">
        <f>"299420210525095542104578"</f>
        <v>299420210525095542104578</v>
      </c>
      <c r="C987" s="6" t="s">
        <v>552</v>
      </c>
      <c r="D987" s="6" t="str">
        <f>"欧利男"</f>
        <v>欧利男</v>
      </c>
      <c r="E987" s="6" t="str">
        <f t="shared" si="27"/>
        <v>女</v>
      </c>
    </row>
    <row r="988" spans="1:5" ht="30" customHeight="1">
      <c r="A988" s="6">
        <v>986</v>
      </c>
      <c r="B988" s="6" t="str">
        <f>"299420210525095630104580"</f>
        <v>299420210525095630104580</v>
      </c>
      <c r="C988" s="6" t="s">
        <v>552</v>
      </c>
      <c r="D988" s="6" t="str">
        <f>"吴金梅"</f>
        <v>吴金梅</v>
      </c>
      <c r="E988" s="6" t="str">
        <f t="shared" si="27"/>
        <v>女</v>
      </c>
    </row>
    <row r="989" spans="1:5" ht="30" customHeight="1">
      <c r="A989" s="6">
        <v>987</v>
      </c>
      <c r="B989" s="6" t="str">
        <f>"299420210525095706104586"</f>
        <v>299420210525095706104586</v>
      </c>
      <c r="C989" s="6" t="s">
        <v>552</v>
      </c>
      <c r="D989" s="6" t="str">
        <f>"周秋明"</f>
        <v>周秋明</v>
      </c>
      <c r="E989" s="6" t="str">
        <f t="shared" si="27"/>
        <v>女</v>
      </c>
    </row>
    <row r="990" spans="1:5" ht="30" customHeight="1">
      <c r="A990" s="6">
        <v>988</v>
      </c>
      <c r="B990" s="6" t="str">
        <f>"299420210525095738104588"</f>
        <v>299420210525095738104588</v>
      </c>
      <c r="C990" s="6" t="s">
        <v>552</v>
      </c>
      <c r="D990" s="6" t="str">
        <f>"王惠"</f>
        <v>王惠</v>
      </c>
      <c r="E990" s="6" t="str">
        <f t="shared" si="27"/>
        <v>女</v>
      </c>
    </row>
    <row r="991" spans="1:5" ht="30" customHeight="1">
      <c r="A991" s="6">
        <v>989</v>
      </c>
      <c r="B991" s="6" t="str">
        <f>"299420210525100024104602"</f>
        <v>299420210525100024104602</v>
      </c>
      <c r="C991" s="6" t="s">
        <v>552</v>
      </c>
      <c r="D991" s="6" t="str">
        <f>"陈心怡"</f>
        <v>陈心怡</v>
      </c>
      <c r="E991" s="6" t="str">
        <f t="shared" si="27"/>
        <v>女</v>
      </c>
    </row>
    <row r="992" spans="1:5" ht="30" customHeight="1">
      <c r="A992" s="6">
        <v>990</v>
      </c>
      <c r="B992" s="6" t="str">
        <f>"299420210525100107104607"</f>
        <v>299420210525100107104607</v>
      </c>
      <c r="C992" s="6" t="s">
        <v>552</v>
      </c>
      <c r="D992" s="6" t="str">
        <f>"符梅燕"</f>
        <v>符梅燕</v>
      </c>
      <c r="E992" s="6" t="str">
        <f t="shared" si="27"/>
        <v>女</v>
      </c>
    </row>
    <row r="993" spans="1:5" ht="30" customHeight="1">
      <c r="A993" s="6">
        <v>991</v>
      </c>
      <c r="B993" s="6" t="str">
        <f>"299420210525100128104610"</f>
        <v>299420210525100128104610</v>
      </c>
      <c r="C993" s="6" t="s">
        <v>552</v>
      </c>
      <c r="D993" s="6" t="str">
        <f>"符望"</f>
        <v>符望</v>
      </c>
      <c r="E993" s="6" t="str">
        <f t="shared" si="27"/>
        <v>女</v>
      </c>
    </row>
    <row r="994" spans="1:5" ht="30" customHeight="1">
      <c r="A994" s="6">
        <v>992</v>
      </c>
      <c r="B994" s="6" t="str">
        <f>"299420210525100238104616"</f>
        <v>299420210525100238104616</v>
      </c>
      <c r="C994" s="6" t="s">
        <v>552</v>
      </c>
      <c r="D994" s="6" t="str">
        <f>"张彩映"</f>
        <v>张彩映</v>
      </c>
      <c r="E994" s="6" t="str">
        <f t="shared" si="27"/>
        <v>女</v>
      </c>
    </row>
    <row r="995" spans="1:5" ht="30" customHeight="1">
      <c r="A995" s="6">
        <v>993</v>
      </c>
      <c r="B995" s="6" t="str">
        <f>"299420210525100555104635"</f>
        <v>299420210525100555104635</v>
      </c>
      <c r="C995" s="6" t="s">
        <v>552</v>
      </c>
      <c r="D995" s="6" t="str">
        <f>"甘露"</f>
        <v>甘露</v>
      </c>
      <c r="E995" s="6" t="str">
        <f t="shared" si="27"/>
        <v>女</v>
      </c>
    </row>
    <row r="996" spans="1:5" ht="30" customHeight="1">
      <c r="A996" s="6">
        <v>994</v>
      </c>
      <c r="B996" s="6" t="str">
        <f>"299420210525101009104653"</f>
        <v>299420210525101009104653</v>
      </c>
      <c r="C996" s="6" t="s">
        <v>552</v>
      </c>
      <c r="D996" s="6" t="str">
        <f>"吴娱"</f>
        <v>吴娱</v>
      </c>
      <c r="E996" s="6" t="str">
        <f t="shared" si="27"/>
        <v>女</v>
      </c>
    </row>
    <row r="997" spans="1:5" ht="30" customHeight="1">
      <c r="A997" s="6">
        <v>995</v>
      </c>
      <c r="B997" s="6" t="str">
        <f>"299420210525101135104664"</f>
        <v>299420210525101135104664</v>
      </c>
      <c r="C997" s="6" t="s">
        <v>552</v>
      </c>
      <c r="D997" s="6" t="str">
        <f>"王诗雅"</f>
        <v>王诗雅</v>
      </c>
      <c r="E997" s="6" t="str">
        <f t="shared" si="27"/>
        <v>女</v>
      </c>
    </row>
    <row r="998" spans="1:5" ht="30" customHeight="1">
      <c r="A998" s="6">
        <v>996</v>
      </c>
      <c r="B998" s="6" t="str">
        <f>"299420210525101206104667"</f>
        <v>299420210525101206104667</v>
      </c>
      <c r="C998" s="6" t="s">
        <v>552</v>
      </c>
      <c r="D998" s="6" t="str">
        <f>"梁其隆"</f>
        <v>梁其隆</v>
      </c>
      <c r="E998" s="6" t="str">
        <f>"男"</f>
        <v>男</v>
      </c>
    </row>
    <row r="999" spans="1:5" ht="30" customHeight="1">
      <c r="A999" s="6">
        <v>997</v>
      </c>
      <c r="B999" s="6" t="str">
        <f>"299420210525101652104696"</f>
        <v>299420210525101652104696</v>
      </c>
      <c r="C999" s="6" t="s">
        <v>552</v>
      </c>
      <c r="D999" s="6" t="str">
        <f>"李海萍"</f>
        <v>李海萍</v>
      </c>
      <c r="E999" s="6" t="str">
        <f aca="true" t="shared" si="28" ref="E999:E1013">"女"</f>
        <v>女</v>
      </c>
    </row>
    <row r="1000" spans="1:5" ht="30" customHeight="1">
      <c r="A1000" s="6">
        <v>998</v>
      </c>
      <c r="B1000" s="6" t="str">
        <f>"299420210525101701104698"</f>
        <v>299420210525101701104698</v>
      </c>
      <c r="C1000" s="6" t="s">
        <v>552</v>
      </c>
      <c r="D1000" s="6" t="str">
        <f>"马菁玉"</f>
        <v>马菁玉</v>
      </c>
      <c r="E1000" s="6" t="str">
        <f t="shared" si="28"/>
        <v>女</v>
      </c>
    </row>
    <row r="1001" spans="1:5" ht="30" customHeight="1">
      <c r="A1001" s="6">
        <v>999</v>
      </c>
      <c r="B1001" s="6" t="str">
        <f>"299420210525101755104707"</f>
        <v>299420210525101755104707</v>
      </c>
      <c r="C1001" s="6" t="s">
        <v>552</v>
      </c>
      <c r="D1001" s="6" t="str">
        <f>"王小瑛"</f>
        <v>王小瑛</v>
      </c>
      <c r="E1001" s="6" t="str">
        <f t="shared" si="28"/>
        <v>女</v>
      </c>
    </row>
    <row r="1002" spans="1:5" ht="30" customHeight="1">
      <c r="A1002" s="6">
        <v>1000</v>
      </c>
      <c r="B1002" s="6" t="str">
        <f>"299420210525101955104717"</f>
        <v>299420210525101955104717</v>
      </c>
      <c r="C1002" s="6" t="s">
        <v>552</v>
      </c>
      <c r="D1002" s="6" t="str">
        <f>"符岚紫"</f>
        <v>符岚紫</v>
      </c>
      <c r="E1002" s="6" t="str">
        <f t="shared" si="28"/>
        <v>女</v>
      </c>
    </row>
    <row r="1003" spans="1:5" ht="30" customHeight="1">
      <c r="A1003" s="6">
        <v>1001</v>
      </c>
      <c r="B1003" s="6" t="str">
        <f>"299420210525102005104718"</f>
        <v>299420210525102005104718</v>
      </c>
      <c r="C1003" s="6" t="s">
        <v>552</v>
      </c>
      <c r="D1003" s="6" t="str">
        <f>"郑忠艳"</f>
        <v>郑忠艳</v>
      </c>
      <c r="E1003" s="6" t="str">
        <f t="shared" si="28"/>
        <v>女</v>
      </c>
    </row>
    <row r="1004" spans="1:5" ht="30" customHeight="1">
      <c r="A1004" s="6">
        <v>1002</v>
      </c>
      <c r="B1004" s="6" t="str">
        <f>"299420210525102241104735"</f>
        <v>299420210525102241104735</v>
      </c>
      <c r="C1004" s="6" t="s">
        <v>552</v>
      </c>
      <c r="D1004" s="6" t="str">
        <f>"倪靓"</f>
        <v>倪靓</v>
      </c>
      <c r="E1004" s="6" t="str">
        <f t="shared" si="28"/>
        <v>女</v>
      </c>
    </row>
    <row r="1005" spans="1:5" ht="30" customHeight="1">
      <c r="A1005" s="6">
        <v>1003</v>
      </c>
      <c r="B1005" s="6" t="str">
        <f>"299420210525102258104736"</f>
        <v>299420210525102258104736</v>
      </c>
      <c r="C1005" s="6" t="s">
        <v>552</v>
      </c>
      <c r="D1005" s="6" t="str">
        <f>"赵民英"</f>
        <v>赵民英</v>
      </c>
      <c r="E1005" s="6" t="str">
        <f t="shared" si="28"/>
        <v>女</v>
      </c>
    </row>
    <row r="1006" spans="1:5" ht="30" customHeight="1">
      <c r="A1006" s="6">
        <v>1004</v>
      </c>
      <c r="B1006" s="6" t="str">
        <f>"299420210525102508104751"</f>
        <v>299420210525102508104751</v>
      </c>
      <c r="C1006" s="6" t="s">
        <v>552</v>
      </c>
      <c r="D1006" s="6" t="str">
        <f>"李秋娟"</f>
        <v>李秋娟</v>
      </c>
      <c r="E1006" s="6" t="str">
        <f t="shared" si="28"/>
        <v>女</v>
      </c>
    </row>
    <row r="1007" spans="1:5" ht="30" customHeight="1">
      <c r="A1007" s="6">
        <v>1005</v>
      </c>
      <c r="B1007" s="6" t="str">
        <f>"299420210525102609104762"</f>
        <v>299420210525102609104762</v>
      </c>
      <c r="C1007" s="6" t="s">
        <v>552</v>
      </c>
      <c r="D1007" s="6" t="str">
        <f>"卢爱娟"</f>
        <v>卢爱娟</v>
      </c>
      <c r="E1007" s="6" t="str">
        <f t="shared" si="28"/>
        <v>女</v>
      </c>
    </row>
    <row r="1008" spans="1:5" ht="30" customHeight="1">
      <c r="A1008" s="6">
        <v>1006</v>
      </c>
      <c r="B1008" s="6" t="str">
        <f>"299420210525102620104765"</f>
        <v>299420210525102620104765</v>
      </c>
      <c r="C1008" s="6" t="s">
        <v>552</v>
      </c>
      <c r="D1008" s="6" t="str">
        <f>"崔欣"</f>
        <v>崔欣</v>
      </c>
      <c r="E1008" s="6" t="str">
        <f t="shared" si="28"/>
        <v>女</v>
      </c>
    </row>
    <row r="1009" spans="1:5" ht="30" customHeight="1">
      <c r="A1009" s="6">
        <v>1007</v>
      </c>
      <c r="B1009" s="6" t="str">
        <f>"299420210525102644104771"</f>
        <v>299420210525102644104771</v>
      </c>
      <c r="C1009" s="6" t="s">
        <v>552</v>
      </c>
      <c r="D1009" s="6" t="str">
        <f>"陈艳"</f>
        <v>陈艳</v>
      </c>
      <c r="E1009" s="6" t="str">
        <f t="shared" si="28"/>
        <v>女</v>
      </c>
    </row>
    <row r="1010" spans="1:5" ht="30" customHeight="1">
      <c r="A1010" s="6">
        <v>1008</v>
      </c>
      <c r="B1010" s="6" t="str">
        <f>"299420210525102745104776"</f>
        <v>299420210525102745104776</v>
      </c>
      <c r="C1010" s="6" t="s">
        <v>552</v>
      </c>
      <c r="D1010" s="6" t="str">
        <f>"曾云"</f>
        <v>曾云</v>
      </c>
      <c r="E1010" s="6" t="str">
        <f t="shared" si="28"/>
        <v>女</v>
      </c>
    </row>
    <row r="1011" spans="1:5" ht="30" customHeight="1">
      <c r="A1011" s="6">
        <v>1009</v>
      </c>
      <c r="B1011" s="6" t="str">
        <f>"299420210525102920104785"</f>
        <v>299420210525102920104785</v>
      </c>
      <c r="C1011" s="6" t="s">
        <v>552</v>
      </c>
      <c r="D1011" s="6" t="str">
        <f>"郭小枫"</f>
        <v>郭小枫</v>
      </c>
      <c r="E1011" s="6" t="str">
        <f t="shared" si="28"/>
        <v>女</v>
      </c>
    </row>
    <row r="1012" spans="1:5" ht="30" customHeight="1">
      <c r="A1012" s="6">
        <v>1010</v>
      </c>
      <c r="B1012" s="6" t="str">
        <f>"299420210525102945104787"</f>
        <v>299420210525102945104787</v>
      </c>
      <c r="C1012" s="6" t="s">
        <v>552</v>
      </c>
      <c r="D1012" s="6" t="str">
        <f>"林德焱"</f>
        <v>林德焱</v>
      </c>
      <c r="E1012" s="6" t="str">
        <f t="shared" si="28"/>
        <v>女</v>
      </c>
    </row>
    <row r="1013" spans="1:5" ht="30" customHeight="1">
      <c r="A1013" s="6">
        <v>1011</v>
      </c>
      <c r="B1013" s="6" t="str">
        <f>"299420210525103236104807"</f>
        <v>299420210525103236104807</v>
      </c>
      <c r="C1013" s="6" t="s">
        <v>552</v>
      </c>
      <c r="D1013" s="6" t="str">
        <f>"吴青"</f>
        <v>吴青</v>
      </c>
      <c r="E1013" s="6" t="str">
        <f t="shared" si="28"/>
        <v>女</v>
      </c>
    </row>
    <row r="1014" spans="1:5" ht="30" customHeight="1">
      <c r="A1014" s="6">
        <v>1012</v>
      </c>
      <c r="B1014" s="6" t="str">
        <f>"299420210525103306104812"</f>
        <v>299420210525103306104812</v>
      </c>
      <c r="C1014" s="6" t="s">
        <v>552</v>
      </c>
      <c r="D1014" s="6" t="str">
        <f>"钟运权"</f>
        <v>钟运权</v>
      </c>
      <c r="E1014" s="6" t="str">
        <f>"男"</f>
        <v>男</v>
      </c>
    </row>
    <row r="1015" spans="1:5" ht="30" customHeight="1">
      <c r="A1015" s="6">
        <v>1013</v>
      </c>
      <c r="B1015" s="6" t="str">
        <f>"299420210525103500104829"</f>
        <v>299420210525103500104829</v>
      </c>
      <c r="C1015" s="6" t="s">
        <v>552</v>
      </c>
      <c r="D1015" s="6" t="str">
        <f>"唐传婷"</f>
        <v>唐传婷</v>
      </c>
      <c r="E1015" s="6" t="str">
        <f aca="true" t="shared" si="29" ref="E1015:E1024">"女"</f>
        <v>女</v>
      </c>
    </row>
    <row r="1016" spans="1:5" ht="30" customHeight="1">
      <c r="A1016" s="6">
        <v>1014</v>
      </c>
      <c r="B1016" s="6" t="str">
        <f>"299420210525103738104848"</f>
        <v>299420210525103738104848</v>
      </c>
      <c r="C1016" s="6" t="s">
        <v>552</v>
      </c>
      <c r="D1016" s="6" t="str">
        <f>"邱琳"</f>
        <v>邱琳</v>
      </c>
      <c r="E1016" s="6" t="str">
        <f t="shared" si="29"/>
        <v>女</v>
      </c>
    </row>
    <row r="1017" spans="1:5" ht="30" customHeight="1">
      <c r="A1017" s="6">
        <v>1015</v>
      </c>
      <c r="B1017" s="6" t="str">
        <f>"299420210525104252104877"</f>
        <v>299420210525104252104877</v>
      </c>
      <c r="C1017" s="6" t="s">
        <v>552</v>
      </c>
      <c r="D1017" s="6" t="str">
        <f>"陈海珍"</f>
        <v>陈海珍</v>
      </c>
      <c r="E1017" s="6" t="str">
        <f t="shared" si="29"/>
        <v>女</v>
      </c>
    </row>
    <row r="1018" spans="1:5" ht="30" customHeight="1">
      <c r="A1018" s="6">
        <v>1016</v>
      </c>
      <c r="B1018" s="6" t="str">
        <f>"299420210525104436104885"</f>
        <v>299420210525104436104885</v>
      </c>
      <c r="C1018" s="6" t="s">
        <v>552</v>
      </c>
      <c r="D1018" s="6" t="str">
        <f>"林婷"</f>
        <v>林婷</v>
      </c>
      <c r="E1018" s="6" t="str">
        <f t="shared" si="29"/>
        <v>女</v>
      </c>
    </row>
    <row r="1019" spans="1:5" ht="30" customHeight="1">
      <c r="A1019" s="6">
        <v>1017</v>
      </c>
      <c r="B1019" s="6" t="str">
        <f>"299420210525104718104897"</f>
        <v>299420210525104718104897</v>
      </c>
      <c r="C1019" s="6" t="s">
        <v>552</v>
      </c>
      <c r="D1019" s="6" t="str">
        <f>"卜会静"</f>
        <v>卜会静</v>
      </c>
      <c r="E1019" s="6" t="str">
        <f t="shared" si="29"/>
        <v>女</v>
      </c>
    </row>
    <row r="1020" spans="1:5" ht="30" customHeight="1">
      <c r="A1020" s="6">
        <v>1018</v>
      </c>
      <c r="B1020" s="6" t="str">
        <f>"299420210525104725104902"</f>
        <v>299420210525104725104902</v>
      </c>
      <c r="C1020" s="6" t="s">
        <v>552</v>
      </c>
      <c r="D1020" s="6" t="str">
        <f>"粟静雯"</f>
        <v>粟静雯</v>
      </c>
      <c r="E1020" s="6" t="str">
        <f t="shared" si="29"/>
        <v>女</v>
      </c>
    </row>
    <row r="1021" spans="1:5" ht="30" customHeight="1">
      <c r="A1021" s="6">
        <v>1019</v>
      </c>
      <c r="B1021" s="6" t="str">
        <f>"299420210525104803104905"</f>
        <v>299420210525104803104905</v>
      </c>
      <c r="C1021" s="6" t="s">
        <v>552</v>
      </c>
      <c r="D1021" s="6" t="str">
        <f>"孙芋"</f>
        <v>孙芋</v>
      </c>
      <c r="E1021" s="6" t="str">
        <f t="shared" si="29"/>
        <v>女</v>
      </c>
    </row>
    <row r="1022" spans="1:5" ht="30" customHeight="1">
      <c r="A1022" s="6">
        <v>1020</v>
      </c>
      <c r="B1022" s="6" t="str">
        <f>"299420210525104806104907"</f>
        <v>299420210525104806104907</v>
      </c>
      <c r="C1022" s="6" t="s">
        <v>552</v>
      </c>
      <c r="D1022" s="6" t="str">
        <f>"王雅梅"</f>
        <v>王雅梅</v>
      </c>
      <c r="E1022" s="6" t="str">
        <f t="shared" si="29"/>
        <v>女</v>
      </c>
    </row>
    <row r="1023" spans="1:5" ht="30" customHeight="1">
      <c r="A1023" s="6">
        <v>1021</v>
      </c>
      <c r="B1023" s="6" t="str">
        <f>"299420210525104826104909"</f>
        <v>299420210525104826104909</v>
      </c>
      <c r="C1023" s="6" t="s">
        <v>552</v>
      </c>
      <c r="D1023" s="6" t="str">
        <f>"李婕妤"</f>
        <v>李婕妤</v>
      </c>
      <c r="E1023" s="6" t="str">
        <f t="shared" si="29"/>
        <v>女</v>
      </c>
    </row>
    <row r="1024" spans="1:5" ht="30" customHeight="1">
      <c r="A1024" s="6">
        <v>1022</v>
      </c>
      <c r="B1024" s="6" t="str">
        <f>"299420210525104901104915"</f>
        <v>299420210525104901104915</v>
      </c>
      <c r="C1024" s="6" t="s">
        <v>552</v>
      </c>
      <c r="D1024" s="6" t="str">
        <f>"李欣欣"</f>
        <v>李欣欣</v>
      </c>
      <c r="E1024" s="6" t="str">
        <f t="shared" si="29"/>
        <v>女</v>
      </c>
    </row>
    <row r="1025" spans="1:5" ht="30" customHeight="1">
      <c r="A1025" s="6">
        <v>1023</v>
      </c>
      <c r="B1025" s="6" t="str">
        <f>"299420210525104938104918"</f>
        <v>299420210525104938104918</v>
      </c>
      <c r="C1025" s="6" t="s">
        <v>552</v>
      </c>
      <c r="D1025" s="6" t="str">
        <f>"周诗贤"</f>
        <v>周诗贤</v>
      </c>
      <c r="E1025" s="6" t="str">
        <f>"男"</f>
        <v>男</v>
      </c>
    </row>
    <row r="1026" spans="1:5" ht="30" customHeight="1">
      <c r="A1026" s="6">
        <v>1024</v>
      </c>
      <c r="B1026" s="6" t="str">
        <f>"299420210525105107104922"</f>
        <v>299420210525105107104922</v>
      </c>
      <c r="C1026" s="6" t="s">
        <v>552</v>
      </c>
      <c r="D1026" s="6" t="str">
        <f>"陈梅"</f>
        <v>陈梅</v>
      </c>
      <c r="E1026" s="6" t="str">
        <f aca="true" t="shared" si="30" ref="E1026:E1089">"女"</f>
        <v>女</v>
      </c>
    </row>
    <row r="1027" spans="1:5" ht="30" customHeight="1">
      <c r="A1027" s="6">
        <v>1025</v>
      </c>
      <c r="B1027" s="6" t="str">
        <f>"299420210525105315104934"</f>
        <v>299420210525105315104934</v>
      </c>
      <c r="C1027" s="6" t="s">
        <v>552</v>
      </c>
      <c r="D1027" s="6" t="str">
        <f>"孙颖"</f>
        <v>孙颖</v>
      </c>
      <c r="E1027" s="6" t="str">
        <f t="shared" si="30"/>
        <v>女</v>
      </c>
    </row>
    <row r="1028" spans="1:5" ht="30" customHeight="1">
      <c r="A1028" s="6">
        <v>1026</v>
      </c>
      <c r="B1028" s="6" t="str">
        <f>"299420210525105702104949"</f>
        <v>299420210525105702104949</v>
      </c>
      <c r="C1028" s="6" t="s">
        <v>552</v>
      </c>
      <c r="D1028" s="6" t="str">
        <f>"吴嘉琪"</f>
        <v>吴嘉琪</v>
      </c>
      <c r="E1028" s="6" t="str">
        <f t="shared" si="30"/>
        <v>女</v>
      </c>
    </row>
    <row r="1029" spans="1:5" ht="30" customHeight="1">
      <c r="A1029" s="6">
        <v>1027</v>
      </c>
      <c r="B1029" s="6" t="str">
        <f>"299420210525110003104964"</f>
        <v>299420210525110003104964</v>
      </c>
      <c r="C1029" s="6" t="s">
        <v>552</v>
      </c>
      <c r="D1029" s="6" t="str">
        <f>"冯小妹"</f>
        <v>冯小妹</v>
      </c>
      <c r="E1029" s="6" t="str">
        <f t="shared" si="30"/>
        <v>女</v>
      </c>
    </row>
    <row r="1030" spans="1:5" ht="30" customHeight="1">
      <c r="A1030" s="6">
        <v>1028</v>
      </c>
      <c r="B1030" s="6" t="str">
        <f>"299420210525110144104972"</f>
        <v>299420210525110144104972</v>
      </c>
      <c r="C1030" s="6" t="s">
        <v>552</v>
      </c>
      <c r="D1030" s="6" t="str">
        <f>"韦蕾蕾"</f>
        <v>韦蕾蕾</v>
      </c>
      <c r="E1030" s="6" t="str">
        <f t="shared" si="30"/>
        <v>女</v>
      </c>
    </row>
    <row r="1031" spans="1:5" ht="30" customHeight="1">
      <c r="A1031" s="6">
        <v>1029</v>
      </c>
      <c r="B1031" s="6" t="str">
        <f>"299420210525110339104977"</f>
        <v>299420210525110339104977</v>
      </c>
      <c r="C1031" s="6" t="s">
        <v>552</v>
      </c>
      <c r="D1031" s="6" t="str">
        <f>"姜春苗"</f>
        <v>姜春苗</v>
      </c>
      <c r="E1031" s="6" t="str">
        <f t="shared" si="30"/>
        <v>女</v>
      </c>
    </row>
    <row r="1032" spans="1:5" ht="30" customHeight="1">
      <c r="A1032" s="6">
        <v>1030</v>
      </c>
      <c r="B1032" s="6" t="str">
        <f>"299420210525110441104981"</f>
        <v>299420210525110441104981</v>
      </c>
      <c r="C1032" s="6" t="s">
        <v>552</v>
      </c>
      <c r="D1032" s="6" t="str">
        <f>"陈丽林"</f>
        <v>陈丽林</v>
      </c>
      <c r="E1032" s="6" t="str">
        <f t="shared" si="30"/>
        <v>女</v>
      </c>
    </row>
    <row r="1033" spans="1:5" ht="30" customHeight="1">
      <c r="A1033" s="6">
        <v>1031</v>
      </c>
      <c r="B1033" s="6" t="str">
        <f>"299420210525110543104990"</f>
        <v>299420210525110543104990</v>
      </c>
      <c r="C1033" s="6" t="s">
        <v>552</v>
      </c>
      <c r="D1033" s="6" t="str">
        <f>"陆显任"</f>
        <v>陆显任</v>
      </c>
      <c r="E1033" s="6" t="str">
        <f t="shared" si="30"/>
        <v>女</v>
      </c>
    </row>
    <row r="1034" spans="1:5" ht="30" customHeight="1">
      <c r="A1034" s="6">
        <v>1032</v>
      </c>
      <c r="B1034" s="6" t="str">
        <f>"299420210525110546104991"</f>
        <v>299420210525110546104991</v>
      </c>
      <c r="C1034" s="6" t="s">
        <v>552</v>
      </c>
      <c r="D1034" s="6" t="str">
        <f>"李秋妹"</f>
        <v>李秋妹</v>
      </c>
      <c r="E1034" s="6" t="str">
        <f t="shared" si="30"/>
        <v>女</v>
      </c>
    </row>
    <row r="1035" spans="1:5" ht="30" customHeight="1">
      <c r="A1035" s="6">
        <v>1033</v>
      </c>
      <c r="B1035" s="6" t="str">
        <f>"299420210525110748104996"</f>
        <v>299420210525110748104996</v>
      </c>
      <c r="C1035" s="6" t="s">
        <v>552</v>
      </c>
      <c r="D1035" s="6" t="str">
        <f>"吉微"</f>
        <v>吉微</v>
      </c>
      <c r="E1035" s="6" t="str">
        <f t="shared" si="30"/>
        <v>女</v>
      </c>
    </row>
    <row r="1036" spans="1:5" ht="30" customHeight="1">
      <c r="A1036" s="6">
        <v>1034</v>
      </c>
      <c r="B1036" s="6" t="str">
        <f>"299420210525111013105008"</f>
        <v>299420210525111013105008</v>
      </c>
      <c r="C1036" s="6" t="s">
        <v>552</v>
      </c>
      <c r="D1036" s="6" t="str">
        <f>"黄艳萍"</f>
        <v>黄艳萍</v>
      </c>
      <c r="E1036" s="6" t="str">
        <f t="shared" si="30"/>
        <v>女</v>
      </c>
    </row>
    <row r="1037" spans="1:5" ht="30" customHeight="1">
      <c r="A1037" s="6">
        <v>1035</v>
      </c>
      <c r="B1037" s="6" t="str">
        <f>"299420210525111039105011"</f>
        <v>299420210525111039105011</v>
      </c>
      <c r="C1037" s="6" t="s">
        <v>552</v>
      </c>
      <c r="D1037" s="6" t="str">
        <f>"吴海萍"</f>
        <v>吴海萍</v>
      </c>
      <c r="E1037" s="6" t="str">
        <f t="shared" si="30"/>
        <v>女</v>
      </c>
    </row>
    <row r="1038" spans="1:5" ht="30" customHeight="1">
      <c r="A1038" s="6">
        <v>1036</v>
      </c>
      <c r="B1038" s="6" t="str">
        <f>"299420210525111105105014"</f>
        <v>299420210525111105105014</v>
      </c>
      <c r="C1038" s="6" t="s">
        <v>552</v>
      </c>
      <c r="D1038" s="6" t="str">
        <f>"邰倩倩"</f>
        <v>邰倩倩</v>
      </c>
      <c r="E1038" s="6" t="str">
        <f t="shared" si="30"/>
        <v>女</v>
      </c>
    </row>
    <row r="1039" spans="1:5" ht="30" customHeight="1">
      <c r="A1039" s="6">
        <v>1037</v>
      </c>
      <c r="B1039" s="6" t="str">
        <f>"299420210525111135105019"</f>
        <v>299420210525111135105019</v>
      </c>
      <c r="C1039" s="6" t="s">
        <v>552</v>
      </c>
      <c r="D1039" s="6" t="str">
        <f>"苏丽丽"</f>
        <v>苏丽丽</v>
      </c>
      <c r="E1039" s="6" t="str">
        <f t="shared" si="30"/>
        <v>女</v>
      </c>
    </row>
    <row r="1040" spans="1:5" ht="30" customHeight="1">
      <c r="A1040" s="6">
        <v>1038</v>
      </c>
      <c r="B1040" s="6" t="str">
        <f>"299420210525111228105023"</f>
        <v>299420210525111228105023</v>
      </c>
      <c r="C1040" s="6" t="s">
        <v>552</v>
      </c>
      <c r="D1040" s="6" t="str">
        <f>"董朝孟"</f>
        <v>董朝孟</v>
      </c>
      <c r="E1040" s="6" t="str">
        <f t="shared" si="30"/>
        <v>女</v>
      </c>
    </row>
    <row r="1041" spans="1:5" ht="30" customHeight="1">
      <c r="A1041" s="6">
        <v>1039</v>
      </c>
      <c r="B1041" s="6" t="str">
        <f>"299420210525111324105026"</f>
        <v>299420210525111324105026</v>
      </c>
      <c r="C1041" s="6" t="s">
        <v>552</v>
      </c>
      <c r="D1041" s="6" t="str">
        <f>"曾维倩"</f>
        <v>曾维倩</v>
      </c>
      <c r="E1041" s="6" t="str">
        <f t="shared" si="30"/>
        <v>女</v>
      </c>
    </row>
    <row r="1042" spans="1:5" ht="30" customHeight="1">
      <c r="A1042" s="6">
        <v>1040</v>
      </c>
      <c r="B1042" s="6" t="str">
        <f>"299420210525111537105035"</f>
        <v>299420210525111537105035</v>
      </c>
      <c r="C1042" s="6" t="s">
        <v>552</v>
      </c>
      <c r="D1042" s="6" t="str">
        <f>"迟红蕾"</f>
        <v>迟红蕾</v>
      </c>
      <c r="E1042" s="6" t="str">
        <f t="shared" si="30"/>
        <v>女</v>
      </c>
    </row>
    <row r="1043" spans="1:5" ht="30" customHeight="1">
      <c r="A1043" s="6">
        <v>1041</v>
      </c>
      <c r="B1043" s="6" t="str">
        <f>"299420210525111646105039"</f>
        <v>299420210525111646105039</v>
      </c>
      <c r="C1043" s="6" t="s">
        <v>552</v>
      </c>
      <c r="D1043" s="6" t="str">
        <f>"吴书敏"</f>
        <v>吴书敏</v>
      </c>
      <c r="E1043" s="6" t="str">
        <f t="shared" si="30"/>
        <v>女</v>
      </c>
    </row>
    <row r="1044" spans="1:5" ht="30" customHeight="1">
      <c r="A1044" s="6">
        <v>1042</v>
      </c>
      <c r="B1044" s="6" t="str">
        <f>"299420210525111652105041"</f>
        <v>299420210525111652105041</v>
      </c>
      <c r="C1044" s="6" t="s">
        <v>552</v>
      </c>
      <c r="D1044" s="6" t="str">
        <f>"符钦女"</f>
        <v>符钦女</v>
      </c>
      <c r="E1044" s="6" t="str">
        <f t="shared" si="30"/>
        <v>女</v>
      </c>
    </row>
    <row r="1045" spans="1:5" ht="30" customHeight="1">
      <c r="A1045" s="6">
        <v>1043</v>
      </c>
      <c r="B1045" s="6" t="str">
        <f>"299420210525111711105043"</f>
        <v>299420210525111711105043</v>
      </c>
      <c r="C1045" s="6" t="s">
        <v>552</v>
      </c>
      <c r="D1045" s="6" t="str">
        <f>"万传芳"</f>
        <v>万传芳</v>
      </c>
      <c r="E1045" s="6" t="str">
        <f t="shared" si="30"/>
        <v>女</v>
      </c>
    </row>
    <row r="1046" spans="1:5" ht="30" customHeight="1">
      <c r="A1046" s="6">
        <v>1044</v>
      </c>
      <c r="B1046" s="6" t="str">
        <f>"299420210525111726105046"</f>
        <v>299420210525111726105046</v>
      </c>
      <c r="C1046" s="6" t="s">
        <v>552</v>
      </c>
      <c r="D1046" s="6" t="str">
        <f>"陈运妹"</f>
        <v>陈运妹</v>
      </c>
      <c r="E1046" s="6" t="str">
        <f t="shared" si="30"/>
        <v>女</v>
      </c>
    </row>
    <row r="1047" spans="1:5" ht="30" customHeight="1">
      <c r="A1047" s="6">
        <v>1045</v>
      </c>
      <c r="B1047" s="6" t="str">
        <f>"299420210525112008105058"</f>
        <v>299420210525112008105058</v>
      </c>
      <c r="C1047" s="6" t="s">
        <v>552</v>
      </c>
      <c r="D1047" s="6" t="str">
        <f>"王晓玲"</f>
        <v>王晓玲</v>
      </c>
      <c r="E1047" s="6" t="str">
        <f t="shared" si="30"/>
        <v>女</v>
      </c>
    </row>
    <row r="1048" spans="1:5" ht="30" customHeight="1">
      <c r="A1048" s="6">
        <v>1046</v>
      </c>
      <c r="B1048" s="6" t="str">
        <f>"299420210525112027105061"</f>
        <v>299420210525112027105061</v>
      </c>
      <c r="C1048" s="6" t="s">
        <v>552</v>
      </c>
      <c r="D1048" s="6" t="str">
        <f>"叶木青"</f>
        <v>叶木青</v>
      </c>
      <c r="E1048" s="6" t="str">
        <f t="shared" si="30"/>
        <v>女</v>
      </c>
    </row>
    <row r="1049" spans="1:5" ht="30" customHeight="1">
      <c r="A1049" s="6">
        <v>1047</v>
      </c>
      <c r="B1049" s="6" t="str">
        <f>"299420210525112038105064"</f>
        <v>299420210525112038105064</v>
      </c>
      <c r="C1049" s="6" t="s">
        <v>552</v>
      </c>
      <c r="D1049" s="6" t="str">
        <f>"刘爽"</f>
        <v>刘爽</v>
      </c>
      <c r="E1049" s="6" t="str">
        <f t="shared" si="30"/>
        <v>女</v>
      </c>
    </row>
    <row r="1050" spans="1:5" ht="30" customHeight="1">
      <c r="A1050" s="6">
        <v>1048</v>
      </c>
      <c r="B1050" s="6" t="str">
        <f>"299420210525112411105075"</f>
        <v>299420210525112411105075</v>
      </c>
      <c r="C1050" s="6" t="s">
        <v>552</v>
      </c>
      <c r="D1050" s="6" t="str">
        <f>"陈红艳"</f>
        <v>陈红艳</v>
      </c>
      <c r="E1050" s="6" t="str">
        <f t="shared" si="30"/>
        <v>女</v>
      </c>
    </row>
    <row r="1051" spans="1:5" ht="30" customHeight="1">
      <c r="A1051" s="6">
        <v>1049</v>
      </c>
      <c r="B1051" s="6" t="str">
        <f>"299420210525112524105086"</f>
        <v>299420210525112524105086</v>
      </c>
      <c r="C1051" s="6" t="s">
        <v>552</v>
      </c>
      <c r="D1051" s="6" t="str">
        <f>"吴捷"</f>
        <v>吴捷</v>
      </c>
      <c r="E1051" s="6" t="str">
        <f t="shared" si="30"/>
        <v>女</v>
      </c>
    </row>
    <row r="1052" spans="1:5" ht="30" customHeight="1">
      <c r="A1052" s="6">
        <v>1050</v>
      </c>
      <c r="B1052" s="6" t="str">
        <f>"299420210525112855105098"</f>
        <v>299420210525112855105098</v>
      </c>
      <c r="C1052" s="6" t="s">
        <v>552</v>
      </c>
      <c r="D1052" s="6" t="str">
        <f>"莫子莹"</f>
        <v>莫子莹</v>
      </c>
      <c r="E1052" s="6" t="str">
        <f t="shared" si="30"/>
        <v>女</v>
      </c>
    </row>
    <row r="1053" spans="1:5" ht="30" customHeight="1">
      <c r="A1053" s="6">
        <v>1051</v>
      </c>
      <c r="B1053" s="6" t="str">
        <f>"299420210525113139105113"</f>
        <v>299420210525113139105113</v>
      </c>
      <c r="C1053" s="6" t="s">
        <v>552</v>
      </c>
      <c r="D1053" s="6" t="str">
        <f>"邱小妹"</f>
        <v>邱小妹</v>
      </c>
      <c r="E1053" s="6" t="str">
        <f t="shared" si="30"/>
        <v>女</v>
      </c>
    </row>
    <row r="1054" spans="1:5" ht="30" customHeight="1">
      <c r="A1054" s="6">
        <v>1052</v>
      </c>
      <c r="B1054" s="6" t="str">
        <f>"299420210525113438105120"</f>
        <v>299420210525113438105120</v>
      </c>
      <c r="C1054" s="6" t="s">
        <v>552</v>
      </c>
      <c r="D1054" s="6" t="str">
        <f>"周艳颜"</f>
        <v>周艳颜</v>
      </c>
      <c r="E1054" s="6" t="str">
        <f t="shared" si="30"/>
        <v>女</v>
      </c>
    </row>
    <row r="1055" spans="1:5" ht="30" customHeight="1">
      <c r="A1055" s="6">
        <v>1053</v>
      </c>
      <c r="B1055" s="6" t="str">
        <f>"299420210525113648105128"</f>
        <v>299420210525113648105128</v>
      </c>
      <c r="C1055" s="6" t="s">
        <v>552</v>
      </c>
      <c r="D1055" s="6" t="str">
        <f>"易惠蔓"</f>
        <v>易惠蔓</v>
      </c>
      <c r="E1055" s="6" t="str">
        <f t="shared" si="30"/>
        <v>女</v>
      </c>
    </row>
    <row r="1056" spans="1:5" ht="30" customHeight="1">
      <c r="A1056" s="6">
        <v>1054</v>
      </c>
      <c r="B1056" s="6" t="str">
        <f>"299420210525113653105129"</f>
        <v>299420210525113653105129</v>
      </c>
      <c r="C1056" s="6" t="s">
        <v>552</v>
      </c>
      <c r="D1056" s="6" t="str">
        <f>"王小莉"</f>
        <v>王小莉</v>
      </c>
      <c r="E1056" s="6" t="str">
        <f t="shared" si="30"/>
        <v>女</v>
      </c>
    </row>
    <row r="1057" spans="1:5" ht="30" customHeight="1">
      <c r="A1057" s="6">
        <v>1055</v>
      </c>
      <c r="B1057" s="6" t="str">
        <f>"299420210525113735105131"</f>
        <v>299420210525113735105131</v>
      </c>
      <c r="C1057" s="6" t="s">
        <v>552</v>
      </c>
      <c r="D1057" s="6" t="str">
        <f>"陈添园"</f>
        <v>陈添园</v>
      </c>
      <c r="E1057" s="6" t="str">
        <f t="shared" si="30"/>
        <v>女</v>
      </c>
    </row>
    <row r="1058" spans="1:5" ht="30" customHeight="1">
      <c r="A1058" s="6">
        <v>1056</v>
      </c>
      <c r="B1058" s="6" t="str">
        <f>"299420210525114050105144"</f>
        <v>299420210525114050105144</v>
      </c>
      <c r="C1058" s="6" t="s">
        <v>552</v>
      </c>
      <c r="D1058" s="6" t="str">
        <f>"陈慧敏"</f>
        <v>陈慧敏</v>
      </c>
      <c r="E1058" s="6" t="str">
        <f t="shared" si="30"/>
        <v>女</v>
      </c>
    </row>
    <row r="1059" spans="1:5" ht="30" customHeight="1">
      <c r="A1059" s="6">
        <v>1057</v>
      </c>
      <c r="B1059" s="6" t="str">
        <f>"299420210525114136105151"</f>
        <v>299420210525114136105151</v>
      </c>
      <c r="C1059" s="6" t="s">
        <v>552</v>
      </c>
      <c r="D1059" s="6" t="str">
        <f>"郑丕华"</f>
        <v>郑丕华</v>
      </c>
      <c r="E1059" s="6" t="str">
        <f t="shared" si="30"/>
        <v>女</v>
      </c>
    </row>
    <row r="1060" spans="1:5" ht="30" customHeight="1">
      <c r="A1060" s="6">
        <v>1058</v>
      </c>
      <c r="B1060" s="6" t="str">
        <f>"299420210525114831105178"</f>
        <v>299420210525114831105178</v>
      </c>
      <c r="C1060" s="6" t="s">
        <v>552</v>
      </c>
      <c r="D1060" s="6" t="str">
        <f>"赵越越"</f>
        <v>赵越越</v>
      </c>
      <c r="E1060" s="6" t="str">
        <f t="shared" si="30"/>
        <v>女</v>
      </c>
    </row>
    <row r="1061" spans="1:5" ht="30" customHeight="1">
      <c r="A1061" s="6">
        <v>1059</v>
      </c>
      <c r="B1061" s="6" t="str">
        <f>"299420210525115402105201"</f>
        <v>299420210525115402105201</v>
      </c>
      <c r="C1061" s="6" t="s">
        <v>552</v>
      </c>
      <c r="D1061" s="6" t="str">
        <f>"何荣芬"</f>
        <v>何荣芬</v>
      </c>
      <c r="E1061" s="6" t="str">
        <f t="shared" si="30"/>
        <v>女</v>
      </c>
    </row>
    <row r="1062" spans="1:5" ht="30" customHeight="1">
      <c r="A1062" s="6">
        <v>1060</v>
      </c>
      <c r="B1062" s="6" t="str">
        <f>"299420210525115811105220"</f>
        <v>299420210525115811105220</v>
      </c>
      <c r="C1062" s="6" t="s">
        <v>552</v>
      </c>
      <c r="D1062" s="6" t="str">
        <f>"王婉媛"</f>
        <v>王婉媛</v>
      </c>
      <c r="E1062" s="6" t="str">
        <f t="shared" si="30"/>
        <v>女</v>
      </c>
    </row>
    <row r="1063" spans="1:5" ht="30" customHeight="1">
      <c r="A1063" s="6">
        <v>1061</v>
      </c>
      <c r="B1063" s="6" t="str">
        <f>"299420210525120018105227"</f>
        <v>299420210525120018105227</v>
      </c>
      <c r="C1063" s="6" t="s">
        <v>552</v>
      </c>
      <c r="D1063" s="6" t="str">
        <f>"韩玫秀"</f>
        <v>韩玫秀</v>
      </c>
      <c r="E1063" s="6" t="str">
        <f t="shared" si="30"/>
        <v>女</v>
      </c>
    </row>
    <row r="1064" spans="1:5" ht="30" customHeight="1">
      <c r="A1064" s="6">
        <v>1062</v>
      </c>
      <c r="B1064" s="6" t="str">
        <f>"299420210525120325105242"</f>
        <v>299420210525120325105242</v>
      </c>
      <c r="C1064" s="6" t="s">
        <v>552</v>
      </c>
      <c r="D1064" s="6" t="str">
        <f>"吴文君"</f>
        <v>吴文君</v>
      </c>
      <c r="E1064" s="6" t="str">
        <f t="shared" si="30"/>
        <v>女</v>
      </c>
    </row>
    <row r="1065" spans="1:5" ht="30" customHeight="1">
      <c r="A1065" s="6">
        <v>1063</v>
      </c>
      <c r="B1065" s="6" t="str">
        <f>"299420210525120934105263"</f>
        <v>299420210525120934105263</v>
      </c>
      <c r="C1065" s="6" t="s">
        <v>552</v>
      </c>
      <c r="D1065" s="6" t="str">
        <f>"黄慧"</f>
        <v>黄慧</v>
      </c>
      <c r="E1065" s="6" t="str">
        <f t="shared" si="30"/>
        <v>女</v>
      </c>
    </row>
    <row r="1066" spans="1:5" ht="30" customHeight="1">
      <c r="A1066" s="6">
        <v>1064</v>
      </c>
      <c r="B1066" s="6" t="str">
        <f>"299420210525121325105278"</f>
        <v>299420210525121325105278</v>
      </c>
      <c r="C1066" s="6" t="s">
        <v>552</v>
      </c>
      <c r="D1066" s="6" t="str">
        <f>"张小慧"</f>
        <v>张小慧</v>
      </c>
      <c r="E1066" s="6" t="str">
        <f t="shared" si="30"/>
        <v>女</v>
      </c>
    </row>
    <row r="1067" spans="1:5" ht="30" customHeight="1">
      <c r="A1067" s="6">
        <v>1065</v>
      </c>
      <c r="B1067" s="6" t="str">
        <f>"299420210525121406105281"</f>
        <v>299420210525121406105281</v>
      </c>
      <c r="C1067" s="6" t="s">
        <v>552</v>
      </c>
      <c r="D1067" s="6" t="str">
        <f>"符丹蕊"</f>
        <v>符丹蕊</v>
      </c>
      <c r="E1067" s="6" t="str">
        <f t="shared" si="30"/>
        <v>女</v>
      </c>
    </row>
    <row r="1068" spans="1:5" ht="30" customHeight="1">
      <c r="A1068" s="6">
        <v>1066</v>
      </c>
      <c r="B1068" s="6" t="str">
        <f>"299420210525121630105289"</f>
        <v>299420210525121630105289</v>
      </c>
      <c r="C1068" s="6" t="s">
        <v>552</v>
      </c>
      <c r="D1068" s="6" t="str">
        <f>"王琼利"</f>
        <v>王琼利</v>
      </c>
      <c r="E1068" s="6" t="str">
        <f t="shared" si="30"/>
        <v>女</v>
      </c>
    </row>
    <row r="1069" spans="1:5" ht="30" customHeight="1">
      <c r="A1069" s="6">
        <v>1067</v>
      </c>
      <c r="B1069" s="6" t="str">
        <f>"299420210525121734105296"</f>
        <v>299420210525121734105296</v>
      </c>
      <c r="C1069" s="6" t="s">
        <v>552</v>
      </c>
      <c r="D1069" s="6" t="str">
        <f>"陈莹"</f>
        <v>陈莹</v>
      </c>
      <c r="E1069" s="6" t="str">
        <f t="shared" si="30"/>
        <v>女</v>
      </c>
    </row>
    <row r="1070" spans="1:5" ht="30" customHeight="1">
      <c r="A1070" s="6">
        <v>1068</v>
      </c>
      <c r="B1070" s="6" t="str">
        <f>"299420210525121955105300"</f>
        <v>299420210525121955105300</v>
      </c>
      <c r="C1070" s="6" t="s">
        <v>552</v>
      </c>
      <c r="D1070" s="6" t="str">
        <f>"邝青苗"</f>
        <v>邝青苗</v>
      </c>
      <c r="E1070" s="6" t="str">
        <f t="shared" si="30"/>
        <v>女</v>
      </c>
    </row>
    <row r="1071" spans="1:5" ht="30" customHeight="1">
      <c r="A1071" s="6">
        <v>1069</v>
      </c>
      <c r="B1071" s="6" t="str">
        <f>"299420210525122129105304"</f>
        <v>299420210525122129105304</v>
      </c>
      <c r="C1071" s="6" t="s">
        <v>552</v>
      </c>
      <c r="D1071" s="6" t="str">
        <f>"冯小玉"</f>
        <v>冯小玉</v>
      </c>
      <c r="E1071" s="6" t="str">
        <f t="shared" si="30"/>
        <v>女</v>
      </c>
    </row>
    <row r="1072" spans="1:5" ht="30" customHeight="1">
      <c r="A1072" s="6">
        <v>1070</v>
      </c>
      <c r="B1072" s="6" t="str">
        <f>"299420210525122321105309"</f>
        <v>299420210525122321105309</v>
      </c>
      <c r="C1072" s="6" t="s">
        <v>552</v>
      </c>
      <c r="D1072" s="6" t="str">
        <f>"郑春敏"</f>
        <v>郑春敏</v>
      </c>
      <c r="E1072" s="6" t="str">
        <f t="shared" si="30"/>
        <v>女</v>
      </c>
    </row>
    <row r="1073" spans="1:5" ht="30" customHeight="1">
      <c r="A1073" s="6">
        <v>1071</v>
      </c>
      <c r="B1073" s="6" t="str">
        <f>"299420210525122724105320"</f>
        <v>299420210525122724105320</v>
      </c>
      <c r="C1073" s="6" t="s">
        <v>552</v>
      </c>
      <c r="D1073" s="6" t="str">
        <f>"陈佳欣"</f>
        <v>陈佳欣</v>
      </c>
      <c r="E1073" s="6" t="str">
        <f t="shared" si="30"/>
        <v>女</v>
      </c>
    </row>
    <row r="1074" spans="1:5" ht="30" customHeight="1">
      <c r="A1074" s="6">
        <v>1072</v>
      </c>
      <c r="B1074" s="6" t="str">
        <f>"299420210525122832105327"</f>
        <v>299420210525122832105327</v>
      </c>
      <c r="C1074" s="6" t="s">
        <v>552</v>
      </c>
      <c r="D1074" s="6" t="str">
        <f>"吴敏晓"</f>
        <v>吴敏晓</v>
      </c>
      <c r="E1074" s="6" t="str">
        <f t="shared" si="30"/>
        <v>女</v>
      </c>
    </row>
    <row r="1075" spans="1:5" ht="30" customHeight="1">
      <c r="A1075" s="6">
        <v>1073</v>
      </c>
      <c r="B1075" s="6" t="str">
        <f>"299420210525122849105329"</f>
        <v>299420210525122849105329</v>
      </c>
      <c r="C1075" s="6" t="s">
        <v>552</v>
      </c>
      <c r="D1075" s="6" t="str">
        <f>"唐慧"</f>
        <v>唐慧</v>
      </c>
      <c r="E1075" s="6" t="str">
        <f t="shared" si="30"/>
        <v>女</v>
      </c>
    </row>
    <row r="1076" spans="1:5" ht="30" customHeight="1">
      <c r="A1076" s="6">
        <v>1074</v>
      </c>
      <c r="B1076" s="6" t="str">
        <f>"299420210525123109105339"</f>
        <v>299420210525123109105339</v>
      </c>
      <c r="C1076" s="6" t="s">
        <v>552</v>
      </c>
      <c r="D1076" s="6" t="str">
        <f>"朱楠楠"</f>
        <v>朱楠楠</v>
      </c>
      <c r="E1076" s="6" t="str">
        <f t="shared" si="30"/>
        <v>女</v>
      </c>
    </row>
    <row r="1077" spans="1:5" ht="30" customHeight="1">
      <c r="A1077" s="6">
        <v>1075</v>
      </c>
      <c r="B1077" s="6" t="str">
        <f>"299420210525123310105345"</f>
        <v>299420210525123310105345</v>
      </c>
      <c r="C1077" s="6" t="s">
        <v>552</v>
      </c>
      <c r="D1077" s="6" t="str">
        <f>"许芳园"</f>
        <v>许芳园</v>
      </c>
      <c r="E1077" s="6" t="str">
        <f t="shared" si="30"/>
        <v>女</v>
      </c>
    </row>
    <row r="1078" spans="1:5" ht="30" customHeight="1">
      <c r="A1078" s="6">
        <v>1076</v>
      </c>
      <c r="B1078" s="6" t="str">
        <f>"299420210525123509105352"</f>
        <v>299420210525123509105352</v>
      </c>
      <c r="C1078" s="6" t="s">
        <v>552</v>
      </c>
      <c r="D1078" s="6" t="str">
        <f>"陈颖"</f>
        <v>陈颖</v>
      </c>
      <c r="E1078" s="6" t="str">
        <f t="shared" si="30"/>
        <v>女</v>
      </c>
    </row>
    <row r="1079" spans="1:5" ht="30" customHeight="1">
      <c r="A1079" s="6">
        <v>1077</v>
      </c>
      <c r="B1079" s="6" t="str">
        <f>"299420210525123732105363"</f>
        <v>299420210525123732105363</v>
      </c>
      <c r="C1079" s="6" t="s">
        <v>552</v>
      </c>
      <c r="D1079" s="6" t="str">
        <f>"王旦"</f>
        <v>王旦</v>
      </c>
      <c r="E1079" s="6" t="str">
        <f t="shared" si="30"/>
        <v>女</v>
      </c>
    </row>
    <row r="1080" spans="1:5" ht="30" customHeight="1">
      <c r="A1080" s="6">
        <v>1078</v>
      </c>
      <c r="B1080" s="6" t="str">
        <f>"299420210525123752105365"</f>
        <v>299420210525123752105365</v>
      </c>
      <c r="C1080" s="6" t="s">
        <v>552</v>
      </c>
      <c r="D1080" s="6" t="str">
        <f>"王笛"</f>
        <v>王笛</v>
      </c>
      <c r="E1080" s="6" t="str">
        <f t="shared" si="30"/>
        <v>女</v>
      </c>
    </row>
    <row r="1081" spans="1:5" ht="30" customHeight="1">
      <c r="A1081" s="6">
        <v>1079</v>
      </c>
      <c r="B1081" s="6" t="str">
        <f>"299420210525123922105370"</f>
        <v>299420210525123922105370</v>
      </c>
      <c r="C1081" s="6" t="s">
        <v>552</v>
      </c>
      <c r="D1081" s="6" t="str">
        <f>"李运玲"</f>
        <v>李运玲</v>
      </c>
      <c r="E1081" s="6" t="str">
        <f t="shared" si="30"/>
        <v>女</v>
      </c>
    </row>
    <row r="1082" spans="1:5" ht="30" customHeight="1">
      <c r="A1082" s="6">
        <v>1080</v>
      </c>
      <c r="B1082" s="6" t="str">
        <f>"299420210525124134105378"</f>
        <v>299420210525124134105378</v>
      </c>
      <c r="C1082" s="6" t="s">
        <v>552</v>
      </c>
      <c r="D1082" s="6" t="str">
        <f>"陈蕾"</f>
        <v>陈蕾</v>
      </c>
      <c r="E1082" s="6" t="str">
        <f t="shared" si="30"/>
        <v>女</v>
      </c>
    </row>
    <row r="1083" spans="1:5" ht="30" customHeight="1">
      <c r="A1083" s="6">
        <v>1081</v>
      </c>
      <c r="B1083" s="6" t="str">
        <f>"299420210525124209105381"</f>
        <v>299420210525124209105381</v>
      </c>
      <c r="C1083" s="6" t="s">
        <v>552</v>
      </c>
      <c r="D1083" s="6" t="str">
        <f>"戴惠红"</f>
        <v>戴惠红</v>
      </c>
      <c r="E1083" s="6" t="str">
        <f t="shared" si="30"/>
        <v>女</v>
      </c>
    </row>
    <row r="1084" spans="1:5" ht="30" customHeight="1">
      <c r="A1084" s="6">
        <v>1082</v>
      </c>
      <c r="B1084" s="6" t="str">
        <f>"299420210525125438105427"</f>
        <v>299420210525125438105427</v>
      </c>
      <c r="C1084" s="6" t="s">
        <v>552</v>
      </c>
      <c r="D1084" s="6" t="str">
        <f>"陈小丽"</f>
        <v>陈小丽</v>
      </c>
      <c r="E1084" s="6" t="str">
        <f t="shared" si="30"/>
        <v>女</v>
      </c>
    </row>
    <row r="1085" spans="1:5" ht="30" customHeight="1">
      <c r="A1085" s="6">
        <v>1083</v>
      </c>
      <c r="B1085" s="6" t="str">
        <f>"299420210525125906105437"</f>
        <v>299420210525125906105437</v>
      </c>
      <c r="C1085" s="6" t="s">
        <v>552</v>
      </c>
      <c r="D1085" s="6" t="str">
        <f>"符菁菁"</f>
        <v>符菁菁</v>
      </c>
      <c r="E1085" s="6" t="str">
        <f t="shared" si="30"/>
        <v>女</v>
      </c>
    </row>
    <row r="1086" spans="1:5" ht="30" customHeight="1">
      <c r="A1086" s="6">
        <v>1084</v>
      </c>
      <c r="B1086" s="6" t="str">
        <f>"299420210525130843105465"</f>
        <v>299420210525130843105465</v>
      </c>
      <c r="C1086" s="6" t="s">
        <v>552</v>
      </c>
      <c r="D1086" s="6" t="str">
        <f>"苏小菊"</f>
        <v>苏小菊</v>
      </c>
      <c r="E1086" s="6" t="str">
        <f t="shared" si="30"/>
        <v>女</v>
      </c>
    </row>
    <row r="1087" spans="1:5" ht="30" customHeight="1">
      <c r="A1087" s="6">
        <v>1085</v>
      </c>
      <c r="B1087" s="6" t="str">
        <f>"299420210525131921105487"</f>
        <v>299420210525131921105487</v>
      </c>
      <c r="C1087" s="6" t="s">
        <v>552</v>
      </c>
      <c r="D1087" s="6" t="str">
        <f>"杨冬玲"</f>
        <v>杨冬玲</v>
      </c>
      <c r="E1087" s="6" t="str">
        <f t="shared" si="30"/>
        <v>女</v>
      </c>
    </row>
    <row r="1088" spans="1:5" ht="30" customHeight="1">
      <c r="A1088" s="6">
        <v>1086</v>
      </c>
      <c r="B1088" s="6" t="str">
        <f>"299420210525132014105489"</f>
        <v>299420210525132014105489</v>
      </c>
      <c r="C1088" s="6" t="s">
        <v>552</v>
      </c>
      <c r="D1088" s="6" t="str">
        <f>"陈艳丽"</f>
        <v>陈艳丽</v>
      </c>
      <c r="E1088" s="6" t="str">
        <f t="shared" si="30"/>
        <v>女</v>
      </c>
    </row>
    <row r="1089" spans="1:5" ht="30" customHeight="1">
      <c r="A1089" s="6">
        <v>1087</v>
      </c>
      <c r="B1089" s="6" t="str">
        <f>"299420210525133048105509"</f>
        <v>299420210525133048105509</v>
      </c>
      <c r="C1089" s="6" t="s">
        <v>552</v>
      </c>
      <c r="D1089" s="6" t="str">
        <f>"黄白桦"</f>
        <v>黄白桦</v>
      </c>
      <c r="E1089" s="6" t="str">
        <f t="shared" si="30"/>
        <v>女</v>
      </c>
    </row>
    <row r="1090" spans="1:5" ht="30" customHeight="1">
      <c r="A1090" s="6">
        <v>1088</v>
      </c>
      <c r="B1090" s="6" t="str">
        <f>"299420210525133107105511"</f>
        <v>299420210525133107105511</v>
      </c>
      <c r="C1090" s="6" t="s">
        <v>552</v>
      </c>
      <c r="D1090" s="6" t="str">
        <f>"林娇艳"</f>
        <v>林娇艳</v>
      </c>
      <c r="E1090" s="6" t="str">
        <f aca="true" t="shared" si="31" ref="E1090:E1129">"女"</f>
        <v>女</v>
      </c>
    </row>
    <row r="1091" spans="1:5" ht="30" customHeight="1">
      <c r="A1091" s="6">
        <v>1089</v>
      </c>
      <c r="B1091" s="6" t="str">
        <f>"299420210525133427105518"</f>
        <v>299420210525133427105518</v>
      </c>
      <c r="C1091" s="6" t="s">
        <v>552</v>
      </c>
      <c r="D1091" s="6" t="str">
        <f>"秦美玲"</f>
        <v>秦美玲</v>
      </c>
      <c r="E1091" s="6" t="str">
        <f t="shared" si="31"/>
        <v>女</v>
      </c>
    </row>
    <row r="1092" spans="1:5" ht="30" customHeight="1">
      <c r="A1092" s="6">
        <v>1090</v>
      </c>
      <c r="B1092" s="6" t="str">
        <f>"299420210525134659105532"</f>
        <v>299420210525134659105532</v>
      </c>
      <c r="C1092" s="6" t="s">
        <v>552</v>
      </c>
      <c r="D1092" s="6" t="str">
        <f>"向诗宇"</f>
        <v>向诗宇</v>
      </c>
      <c r="E1092" s="6" t="str">
        <f t="shared" si="31"/>
        <v>女</v>
      </c>
    </row>
    <row r="1093" spans="1:5" ht="30" customHeight="1">
      <c r="A1093" s="6">
        <v>1091</v>
      </c>
      <c r="B1093" s="6" t="str">
        <f>"299420210525140852105563"</f>
        <v>299420210525140852105563</v>
      </c>
      <c r="C1093" s="6" t="s">
        <v>552</v>
      </c>
      <c r="D1093" s="6" t="str">
        <f>"王秋雨"</f>
        <v>王秋雨</v>
      </c>
      <c r="E1093" s="6" t="str">
        <f t="shared" si="31"/>
        <v>女</v>
      </c>
    </row>
    <row r="1094" spans="1:5" ht="30" customHeight="1">
      <c r="A1094" s="6">
        <v>1092</v>
      </c>
      <c r="B1094" s="6" t="str">
        <f>"299420210525142654105588"</f>
        <v>299420210525142654105588</v>
      </c>
      <c r="C1094" s="6" t="s">
        <v>552</v>
      </c>
      <c r="D1094" s="6" t="str">
        <f>"谢美玉"</f>
        <v>谢美玉</v>
      </c>
      <c r="E1094" s="6" t="str">
        <f t="shared" si="31"/>
        <v>女</v>
      </c>
    </row>
    <row r="1095" spans="1:5" ht="30" customHeight="1">
      <c r="A1095" s="6">
        <v>1093</v>
      </c>
      <c r="B1095" s="6" t="str">
        <f>"299420210525143833105605"</f>
        <v>299420210525143833105605</v>
      </c>
      <c r="C1095" s="6" t="s">
        <v>552</v>
      </c>
      <c r="D1095" s="6" t="str">
        <f>"林本平"</f>
        <v>林本平</v>
      </c>
      <c r="E1095" s="6" t="str">
        <f t="shared" si="31"/>
        <v>女</v>
      </c>
    </row>
    <row r="1096" spans="1:5" ht="30" customHeight="1">
      <c r="A1096" s="6">
        <v>1094</v>
      </c>
      <c r="B1096" s="6" t="str">
        <f>"299420210525144435105612"</f>
        <v>299420210525144435105612</v>
      </c>
      <c r="C1096" s="6" t="s">
        <v>552</v>
      </c>
      <c r="D1096" s="6" t="str">
        <f>"廖雯丽"</f>
        <v>廖雯丽</v>
      </c>
      <c r="E1096" s="6" t="str">
        <f t="shared" si="31"/>
        <v>女</v>
      </c>
    </row>
    <row r="1097" spans="1:5" ht="30" customHeight="1">
      <c r="A1097" s="6">
        <v>1095</v>
      </c>
      <c r="B1097" s="6" t="str">
        <f>"299420210525145509105641"</f>
        <v>299420210525145509105641</v>
      </c>
      <c r="C1097" s="6" t="s">
        <v>552</v>
      </c>
      <c r="D1097" s="6" t="str">
        <f>"范聪"</f>
        <v>范聪</v>
      </c>
      <c r="E1097" s="6" t="str">
        <f t="shared" si="31"/>
        <v>女</v>
      </c>
    </row>
    <row r="1098" spans="1:5" ht="30" customHeight="1">
      <c r="A1098" s="6">
        <v>1096</v>
      </c>
      <c r="B1098" s="6" t="str">
        <f>"299420210525145602105645"</f>
        <v>299420210525145602105645</v>
      </c>
      <c r="C1098" s="6" t="s">
        <v>552</v>
      </c>
      <c r="D1098" s="6" t="str">
        <f>"薛巧"</f>
        <v>薛巧</v>
      </c>
      <c r="E1098" s="6" t="str">
        <f t="shared" si="31"/>
        <v>女</v>
      </c>
    </row>
    <row r="1099" spans="1:5" ht="30" customHeight="1">
      <c r="A1099" s="6">
        <v>1097</v>
      </c>
      <c r="B1099" s="6" t="str">
        <f>"299420210525145809105652"</f>
        <v>299420210525145809105652</v>
      </c>
      <c r="C1099" s="6" t="s">
        <v>552</v>
      </c>
      <c r="D1099" s="6" t="str">
        <f>"符艺颖"</f>
        <v>符艺颖</v>
      </c>
      <c r="E1099" s="6" t="str">
        <f t="shared" si="31"/>
        <v>女</v>
      </c>
    </row>
    <row r="1100" spans="1:5" ht="30" customHeight="1">
      <c r="A1100" s="6">
        <v>1098</v>
      </c>
      <c r="B1100" s="6" t="str">
        <f>"299420210525150103105657"</f>
        <v>299420210525150103105657</v>
      </c>
      <c r="C1100" s="6" t="s">
        <v>552</v>
      </c>
      <c r="D1100" s="6" t="str">
        <f>"冯大娇"</f>
        <v>冯大娇</v>
      </c>
      <c r="E1100" s="6" t="str">
        <f t="shared" si="31"/>
        <v>女</v>
      </c>
    </row>
    <row r="1101" spans="1:5" ht="30" customHeight="1">
      <c r="A1101" s="6">
        <v>1099</v>
      </c>
      <c r="B1101" s="6" t="str">
        <f>"299420210525150841105676"</f>
        <v>299420210525150841105676</v>
      </c>
      <c r="C1101" s="6" t="s">
        <v>552</v>
      </c>
      <c r="D1101" s="6" t="str">
        <f>"吴程燕"</f>
        <v>吴程燕</v>
      </c>
      <c r="E1101" s="6" t="str">
        <f t="shared" si="31"/>
        <v>女</v>
      </c>
    </row>
    <row r="1102" spans="1:5" ht="30" customHeight="1">
      <c r="A1102" s="6">
        <v>1100</v>
      </c>
      <c r="B1102" s="6" t="str">
        <f>"299420210525151421105697"</f>
        <v>299420210525151421105697</v>
      </c>
      <c r="C1102" s="6" t="s">
        <v>552</v>
      </c>
      <c r="D1102" s="6" t="str">
        <f>"黎浩宇"</f>
        <v>黎浩宇</v>
      </c>
      <c r="E1102" s="6" t="str">
        <f t="shared" si="31"/>
        <v>女</v>
      </c>
    </row>
    <row r="1103" spans="1:5" ht="30" customHeight="1">
      <c r="A1103" s="6">
        <v>1101</v>
      </c>
      <c r="B1103" s="6" t="str">
        <f>"299420210525152837105746"</f>
        <v>299420210525152837105746</v>
      </c>
      <c r="C1103" s="6" t="s">
        <v>552</v>
      </c>
      <c r="D1103" s="6" t="str">
        <f>"符金于"</f>
        <v>符金于</v>
      </c>
      <c r="E1103" s="6" t="str">
        <f t="shared" si="31"/>
        <v>女</v>
      </c>
    </row>
    <row r="1104" spans="1:5" ht="30" customHeight="1">
      <c r="A1104" s="6">
        <v>1102</v>
      </c>
      <c r="B1104" s="6" t="str">
        <f>"299420210525153142105754"</f>
        <v>299420210525153142105754</v>
      </c>
      <c r="C1104" s="6" t="s">
        <v>552</v>
      </c>
      <c r="D1104" s="6" t="str">
        <f>"温莉"</f>
        <v>温莉</v>
      </c>
      <c r="E1104" s="6" t="str">
        <f t="shared" si="31"/>
        <v>女</v>
      </c>
    </row>
    <row r="1105" spans="1:5" ht="30" customHeight="1">
      <c r="A1105" s="6">
        <v>1103</v>
      </c>
      <c r="B1105" s="6" t="str">
        <f>"299420210525153830105777"</f>
        <v>299420210525153830105777</v>
      </c>
      <c r="C1105" s="6" t="s">
        <v>552</v>
      </c>
      <c r="D1105" s="6" t="str">
        <f>"蔡诗娟"</f>
        <v>蔡诗娟</v>
      </c>
      <c r="E1105" s="6" t="str">
        <f t="shared" si="31"/>
        <v>女</v>
      </c>
    </row>
    <row r="1106" spans="1:5" ht="30" customHeight="1">
      <c r="A1106" s="6">
        <v>1104</v>
      </c>
      <c r="B1106" s="6" t="str">
        <f>"299420210525153937105783"</f>
        <v>299420210525153937105783</v>
      </c>
      <c r="C1106" s="6" t="s">
        <v>552</v>
      </c>
      <c r="D1106" s="6" t="str">
        <f>"林桂香"</f>
        <v>林桂香</v>
      </c>
      <c r="E1106" s="6" t="str">
        <f t="shared" si="31"/>
        <v>女</v>
      </c>
    </row>
    <row r="1107" spans="1:5" ht="30" customHeight="1">
      <c r="A1107" s="6">
        <v>1105</v>
      </c>
      <c r="B1107" s="6" t="str">
        <f>"299420210525154607105801"</f>
        <v>299420210525154607105801</v>
      </c>
      <c r="C1107" s="6" t="s">
        <v>552</v>
      </c>
      <c r="D1107" s="6" t="str">
        <f>"蔡兰"</f>
        <v>蔡兰</v>
      </c>
      <c r="E1107" s="6" t="str">
        <f t="shared" si="31"/>
        <v>女</v>
      </c>
    </row>
    <row r="1108" spans="1:5" ht="30" customHeight="1">
      <c r="A1108" s="6">
        <v>1106</v>
      </c>
      <c r="B1108" s="6" t="str">
        <f>"299420210525154727105810"</f>
        <v>299420210525154727105810</v>
      </c>
      <c r="C1108" s="6" t="s">
        <v>552</v>
      </c>
      <c r="D1108" s="6" t="str">
        <f>"官虹伶"</f>
        <v>官虹伶</v>
      </c>
      <c r="E1108" s="6" t="str">
        <f t="shared" si="31"/>
        <v>女</v>
      </c>
    </row>
    <row r="1109" spans="1:5" ht="30" customHeight="1">
      <c r="A1109" s="6">
        <v>1107</v>
      </c>
      <c r="B1109" s="6" t="str">
        <f>"299420210525154810105812"</f>
        <v>299420210525154810105812</v>
      </c>
      <c r="C1109" s="6" t="s">
        <v>552</v>
      </c>
      <c r="D1109" s="6" t="str">
        <f>"李思佳"</f>
        <v>李思佳</v>
      </c>
      <c r="E1109" s="6" t="str">
        <f t="shared" si="31"/>
        <v>女</v>
      </c>
    </row>
    <row r="1110" spans="1:5" ht="30" customHeight="1">
      <c r="A1110" s="6">
        <v>1108</v>
      </c>
      <c r="B1110" s="6" t="str">
        <f>"299420210525154920105818"</f>
        <v>299420210525154920105818</v>
      </c>
      <c r="C1110" s="6" t="s">
        <v>552</v>
      </c>
      <c r="D1110" s="6" t="str">
        <f>"许芳"</f>
        <v>许芳</v>
      </c>
      <c r="E1110" s="6" t="str">
        <f t="shared" si="31"/>
        <v>女</v>
      </c>
    </row>
    <row r="1111" spans="1:5" ht="30" customHeight="1">
      <c r="A1111" s="6">
        <v>1109</v>
      </c>
      <c r="B1111" s="6" t="str">
        <f>"299420210525155542105833"</f>
        <v>299420210525155542105833</v>
      </c>
      <c r="C1111" s="6" t="s">
        <v>552</v>
      </c>
      <c r="D1111" s="6" t="str">
        <f>"齐小滢"</f>
        <v>齐小滢</v>
      </c>
      <c r="E1111" s="6" t="str">
        <f t="shared" si="31"/>
        <v>女</v>
      </c>
    </row>
    <row r="1112" spans="1:5" ht="30" customHeight="1">
      <c r="A1112" s="6">
        <v>1110</v>
      </c>
      <c r="B1112" s="6" t="str">
        <f>"299420210525155906105843"</f>
        <v>299420210525155906105843</v>
      </c>
      <c r="C1112" s="6" t="s">
        <v>552</v>
      </c>
      <c r="D1112" s="6" t="str">
        <f>"王露丹"</f>
        <v>王露丹</v>
      </c>
      <c r="E1112" s="6" t="str">
        <f t="shared" si="31"/>
        <v>女</v>
      </c>
    </row>
    <row r="1113" spans="1:5" ht="30" customHeight="1">
      <c r="A1113" s="6">
        <v>1111</v>
      </c>
      <c r="B1113" s="6" t="str">
        <f>"299420210525160049105849"</f>
        <v>299420210525160049105849</v>
      </c>
      <c r="C1113" s="6" t="s">
        <v>552</v>
      </c>
      <c r="D1113" s="6" t="str">
        <f>"王秋玲"</f>
        <v>王秋玲</v>
      </c>
      <c r="E1113" s="6" t="str">
        <f t="shared" si="31"/>
        <v>女</v>
      </c>
    </row>
    <row r="1114" spans="1:5" ht="30" customHeight="1">
      <c r="A1114" s="6">
        <v>1112</v>
      </c>
      <c r="B1114" s="6" t="str">
        <f>"299420210525160734105869"</f>
        <v>299420210525160734105869</v>
      </c>
      <c r="C1114" s="6" t="s">
        <v>552</v>
      </c>
      <c r="D1114" s="6" t="str">
        <f>"陈冰冰"</f>
        <v>陈冰冰</v>
      </c>
      <c r="E1114" s="6" t="str">
        <f t="shared" si="31"/>
        <v>女</v>
      </c>
    </row>
    <row r="1115" spans="1:5" ht="30" customHeight="1">
      <c r="A1115" s="6">
        <v>1113</v>
      </c>
      <c r="B1115" s="6" t="str">
        <f>"299420210525161732105901"</f>
        <v>299420210525161732105901</v>
      </c>
      <c r="C1115" s="6" t="s">
        <v>552</v>
      </c>
      <c r="D1115" s="6" t="str">
        <f>"陈婵"</f>
        <v>陈婵</v>
      </c>
      <c r="E1115" s="6" t="str">
        <f t="shared" si="31"/>
        <v>女</v>
      </c>
    </row>
    <row r="1116" spans="1:5" ht="30" customHeight="1">
      <c r="A1116" s="6">
        <v>1114</v>
      </c>
      <c r="B1116" s="6" t="str">
        <f>"299420210525161930105904"</f>
        <v>299420210525161930105904</v>
      </c>
      <c r="C1116" s="6" t="s">
        <v>552</v>
      </c>
      <c r="D1116" s="6" t="str">
        <f>"陈甜甜"</f>
        <v>陈甜甜</v>
      </c>
      <c r="E1116" s="6" t="str">
        <f t="shared" si="31"/>
        <v>女</v>
      </c>
    </row>
    <row r="1117" spans="1:5" ht="30" customHeight="1">
      <c r="A1117" s="6">
        <v>1115</v>
      </c>
      <c r="B1117" s="6" t="str">
        <f>"299420210525161938105905"</f>
        <v>299420210525161938105905</v>
      </c>
      <c r="C1117" s="6" t="s">
        <v>552</v>
      </c>
      <c r="D1117" s="6" t="str">
        <f>"王铃"</f>
        <v>王铃</v>
      </c>
      <c r="E1117" s="6" t="str">
        <f t="shared" si="31"/>
        <v>女</v>
      </c>
    </row>
    <row r="1118" spans="1:5" ht="30" customHeight="1">
      <c r="A1118" s="6">
        <v>1116</v>
      </c>
      <c r="B1118" s="6" t="str">
        <f>"299420210525162352105914"</f>
        <v>299420210525162352105914</v>
      </c>
      <c r="C1118" s="6" t="s">
        <v>552</v>
      </c>
      <c r="D1118" s="6" t="str">
        <f>"冯丽芳"</f>
        <v>冯丽芳</v>
      </c>
      <c r="E1118" s="6" t="str">
        <f t="shared" si="31"/>
        <v>女</v>
      </c>
    </row>
    <row r="1119" spans="1:5" ht="30" customHeight="1">
      <c r="A1119" s="6">
        <v>1117</v>
      </c>
      <c r="B1119" s="6" t="str">
        <f>"299420210525163131105929"</f>
        <v>299420210525163131105929</v>
      </c>
      <c r="C1119" s="6" t="s">
        <v>552</v>
      </c>
      <c r="D1119" s="6" t="str">
        <f>"吴佩珠"</f>
        <v>吴佩珠</v>
      </c>
      <c r="E1119" s="6" t="str">
        <f t="shared" si="31"/>
        <v>女</v>
      </c>
    </row>
    <row r="1120" spans="1:5" ht="30" customHeight="1">
      <c r="A1120" s="6">
        <v>1118</v>
      </c>
      <c r="B1120" s="6" t="str">
        <f>"299420210525163144105931"</f>
        <v>299420210525163144105931</v>
      </c>
      <c r="C1120" s="6" t="s">
        <v>552</v>
      </c>
      <c r="D1120" s="6" t="str">
        <f>"李慕希"</f>
        <v>李慕希</v>
      </c>
      <c r="E1120" s="6" t="str">
        <f t="shared" si="31"/>
        <v>女</v>
      </c>
    </row>
    <row r="1121" spans="1:5" ht="30" customHeight="1">
      <c r="A1121" s="6">
        <v>1119</v>
      </c>
      <c r="B1121" s="6" t="str">
        <f>"299420210525163322105940"</f>
        <v>299420210525163322105940</v>
      </c>
      <c r="C1121" s="6" t="s">
        <v>552</v>
      </c>
      <c r="D1121" s="6" t="str">
        <f>"李昭婷"</f>
        <v>李昭婷</v>
      </c>
      <c r="E1121" s="6" t="str">
        <f t="shared" si="31"/>
        <v>女</v>
      </c>
    </row>
    <row r="1122" spans="1:5" ht="30" customHeight="1">
      <c r="A1122" s="6">
        <v>1120</v>
      </c>
      <c r="B1122" s="6" t="str">
        <f>"299420210525163606105950"</f>
        <v>299420210525163606105950</v>
      </c>
      <c r="C1122" s="6" t="s">
        <v>552</v>
      </c>
      <c r="D1122" s="6" t="str">
        <f>"钟清容"</f>
        <v>钟清容</v>
      </c>
      <c r="E1122" s="6" t="str">
        <f t="shared" si="31"/>
        <v>女</v>
      </c>
    </row>
    <row r="1123" spans="1:5" ht="30" customHeight="1">
      <c r="A1123" s="6">
        <v>1121</v>
      </c>
      <c r="B1123" s="6" t="str">
        <f>"299420210525163919105961"</f>
        <v>299420210525163919105961</v>
      </c>
      <c r="C1123" s="6" t="s">
        <v>552</v>
      </c>
      <c r="D1123" s="6" t="str">
        <f>"吴少云"</f>
        <v>吴少云</v>
      </c>
      <c r="E1123" s="6" t="str">
        <f t="shared" si="31"/>
        <v>女</v>
      </c>
    </row>
    <row r="1124" spans="1:5" ht="30" customHeight="1">
      <c r="A1124" s="6">
        <v>1122</v>
      </c>
      <c r="B1124" s="6" t="str">
        <f>"299420210525164244105973"</f>
        <v>299420210525164244105973</v>
      </c>
      <c r="C1124" s="6" t="s">
        <v>552</v>
      </c>
      <c r="D1124" s="6" t="str">
        <f>"麦惠群"</f>
        <v>麦惠群</v>
      </c>
      <c r="E1124" s="6" t="str">
        <f t="shared" si="31"/>
        <v>女</v>
      </c>
    </row>
    <row r="1125" spans="1:5" ht="30" customHeight="1">
      <c r="A1125" s="6">
        <v>1123</v>
      </c>
      <c r="B1125" s="6" t="str">
        <f>"299420210525164903105989"</f>
        <v>299420210525164903105989</v>
      </c>
      <c r="C1125" s="6" t="s">
        <v>552</v>
      </c>
      <c r="D1125" s="6" t="str">
        <f>"曾雪芳"</f>
        <v>曾雪芳</v>
      </c>
      <c r="E1125" s="6" t="str">
        <f t="shared" si="31"/>
        <v>女</v>
      </c>
    </row>
    <row r="1126" spans="1:5" ht="30" customHeight="1">
      <c r="A1126" s="6">
        <v>1124</v>
      </c>
      <c r="B1126" s="6" t="str">
        <f>"299420210525165046105992"</f>
        <v>299420210525165046105992</v>
      </c>
      <c r="C1126" s="6" t="s">
        <v>552</v>
      </c>
      <c r="D1126" s="6" t="str">
        <f>"张少艳"</f>
        <v>张少艳</v>
      </c>
      <c r="E1126" s="6" t="str">
        <f t="shared" si="31"/>
        <v>女</v>
      </c>
    </row>
    <row r="1127" spans="1:5" ht="30" customHeight="1">
      <c r="A1127" s="6">
        <v>1125</v>
      </c>
      <c r="B1127" s="6" t="str">
        <f>"299420210525165407106000"</f>
        <v>299420210525165407106000</v>
      </c>
      <c r="C1127" s="6" t="s">
        <v>552</v>
      </c>
      <c r="D1127" s="6" t="str">
        <f>"陈春韵"</f>
        <v>陈春韵</v>
      </c>
      <c r="E1127" s="6" t="str">
        <f t="shared" si="31"/>
        <v>女</v>
      </c>
    </row>
    <row r="1128" spans="1:5" ht="30" customHeight="1">
      <c r="A1128" s="6">
        <v>1126</v>
      </c>
      <c r="B1128" s="6" t="str">
        <f>"299420210525165711106006"</f>
        <v>299420210525165711106006</v>
      </c>
      <c r="C1128" s="6" t="s">
        <v>552</v>
      </c>
      <c r="D1128" s="6" t="str">
        <f>"高圆圆"</f>
        <v>高圆圆</v>
      </c>
      <c r="E1128" s="6" t="str">
        <f t="shared" si="31"/>
        <v>女</v>
      </c>
    </row>
    <row r="1129" spans="1:5" ht="30" customHeight="1">
      <c r="A1129" s="6">
        <v>1127</v>
      </c>
      <c r="B1129" s="6" t="str">
        <f>"299420210525170444106026"</f>
        <v>299420210525170444106026</v>
      </c>
      <c r="C1129" s="6" t="s">
        <v>552</v>
      </c>
      <c r="D1129" s="6" t="str">
        <f>"梅柳晴"</f>
        <v>梅柳晴</v>
      </c>
      <c r="E1129" s="6" t="str">
        <f t="shared" si="31"/>
        <v>女</v>
      </c>
    </row>
    <row r="1130" spans="1:5" ht="30" customHeight="1">
      <c r="A1130" s="6">
        <v>1128</v>
      </c>
      <c r="B1130" s="6" t="str">
        <f>"299420210525170819106034"</f>
        <v>299420210525170819106034</v>
      </c>
      <c r="C1130" s="6" t="s">
        <v>552</v>
      </c>
      <c r="D1130" s="6" t="str">
        <f>"谢文泽"</f>
        <v>谢文泽</v>
      </c>
      <c r="E1130" s="6" t="str">
        <f>"男"</f>
        <v>男</v>
      </c>
    </row>
    <row r="1131" spans="1:5" ht="30" customHeight="1">
      <c r="A1131" s="6">
        <v>1129</v>
      </c>
      <c r="B1131" s="6" t="str">
        <f>"299420210525171305106044"</f>
        <v>299420210525171305106044</v>
      </c>
      <c r="C1131" s="6" t="s">
        <v>552</v>
      </c>
      <c r="D1131" s="6" t="str">
        <f>"王海珍"</f>
        <v>王海珍</v>
      </c>
      <c r="E1131" s="6" t="str">
        <f aca="true" t="shared" si="32" ref="E1131:E1157">"女"</f>
        <v>女</v>
      </c>
    </row>
    <row r="1132" spans="1:5" ht="30" customHeight="1">
      <c r="A1132" s="6">
        <v>1130</v>
      </c>
      <c r="B1132" s="6" t="str">
        <f>"299420210525171327106045"</f>
        <v>299420210525171327106045</v>
      </c>
      <c r="C1132" s="6" t="s">
        <v>552</v>
      </c>
      <c r="D1132" s="6" t="str">
        <f>"冯华玲"</f>
        <v>冯华玲</v>
      </c>
      <c r="E1132" s="6" t="str">
        <f t="shared" si="32"/>
        <v>女</v>
      </c>
    </row>
    <row r="1133" spans="1:5" ht="30" customHeight="1">
      <c r="A1133" s="6">
        <v>1131</v>
      </c>
      <c r="B1133" s="6" t="str">
        <f>"299420210525173555106087"</f>
        <v>299420210525173555106087</v>
      </c>
      <c r="C1133" s="6" t="s">
        <v>552</v>
      </c>
      <c r="D1133" s="6" t="str">
        <f>"符韵秋"</f>
        <v>符韵秋</v>
      </c>
      <c r="E1133" s="6" t="str">
        <f t="shared" si="32"/>
        <v>女</v>
      </c>
    </row>
    <row r="1134" spans="1:5" ht="30" customHeight="1">
      <c r="A1134" s="6">
        <v>1132</v>
      </c>
      <c r="B1134" s="6" t="str">
        <f>"299420210525173720106089"</f>
        <v>299420210525173720106089</v>
      </c>
      <c r="C1134" s="6" t="s">
        <v>552</v>
      </c>
      <c r="D1134" s="6" t="str">
        <f>"黎雨茵"</f>
        <v>黎雨茵</v>
      </c>
      <c r="E1134" s="6" t="str">
        <f t="shared" si="32"/>
        <v>女</v>
      </c>
    </row>
    <row r="1135" spans="1:5" ht="30" customHeight="1">
      <c r="A1135" s="6">
        <v>1133</v>
      </c>
      <c r="B1135" s="6" t="str">
        <f>"299420210525174755106120"</f>
        <v>299420210525174755106120</v>
      </c>
      <c r="C1135" s="6" t="s">
        <v>552</v>
      </c>
      <c r="D1135" s="6" t="str">
        <f>"符钰月"</f>
        <v>符钰月</v>
      </c>
      <c r="E1135" s="6" t="str">
        <f t="shared" si="32"/>
        <v>女</v>
      </c>
    </row>
    <row r="1136" spans="1:5" ht="30" customHeight="1">
      <c r="A1136" s="6">
        <v>1134</v>
      </c>
      <c r="B1136" s="6" t="str">
        <f>"299420210525174820106122"</f>
        <v>299420210525174820106122</v>
      </c>
      <c r="C1136" s="6" t="s">
        <v>552</v>
      </c>
      <c r="D1136" s="6" t="str">
        <f>"陆娜"</f>
        <v>陆娜</v>
      </c>
      <c r="E1136" s="6" t="str">
        <f t="shared" si="32"/>
        <v>女</v>
      </c>
    </row>
    <row r="1137" spans="1:5" ht="30" customHeight="1">
      <c r="A1137" s="6">
        <v>1135</v>
      </c>
      <c r="B1137" s="6" t="str">
        <f>"299420210525175235106129"</f>
        <v>299420210525175235106129</v>
      </c>
      <c r="C1137" s="6" t="s">
        <v>552</v>
      </c>
      <c r="D1137" s="6" t="str">
        <f>"彭玲玲"</f>
        <v>彭玲玲</v>
      </c>
      <c r="E1137" s="6" t="str">
        <f t="shared" si="32"/>
        <v>女</v>
      </c>
    </row>
    <row r="1138" spans="1:5" ht="30" customHeight="1">
      <c r="A1138" s="6">
        <v>1136</v>
      </c>
      <c r="B1138" s="6" t="str">
        <f>"299420210525175354106130"</f>
        <v>299420210525175354106130</v>
      </c>
      <c r="C1138" s="6" t="s">
        <v>552</v>
      </c>
      <c r="D1138" s="6" t="str">
        <f>"蔡惠"</f>
        <v>蔡惠</v>
      </c>
      <c r="E1138" s="6" t="str">
        <f t="shared" si="32"/>
        <v>女</v>
      </c>
    </row>
    <row r="1139" spans="1:5" ht="30" customHeight="1">
      <c r="A1139" s="6">
        <v>1137</v>
      </c>
      <c r="B1139" s="6" t="str">
        <f>"299420210525175756106137"</f>
        <v>299420210525175756106137</v>
      </c>
      <c r="C1139" s="6" t="s">
        <v>552</v>
      </c>
      <c r="D1139" s="6" t="str">
        <f>"陈小宇"</f>
        <v>陈小宇</v>
      </c>
      <c r="E1139" s="6" t="str">
        <f t="shared" si="32"/>
        <v>女</v>
      </c>
    </row>
    <row r="1140" spans="1:5" ht="30" customHeight="1">
      <c r="A1140" s="6">
        <v>1138</v>
      </c>
      <c r="B1140" s="6" t="str">
        <f>"299420210525181051106171"</f>
        <v>299420210525181051106171</v>
      </c>
      <c r="C1140" s="6" t="s">
        <v>552</v>
      </c>
      <c r="D1140" s="6" t="str">
        <f>"陈莉"</f>
        <v>陈莉</v>
      </c>
      <c r="E1140" s="6" t="str">
        <f t="shared" si="32"/>
        <v>女</v>
      </c>
    </row>
    <row r="1141" spans="1:5" ht="30" customHeight="1">
      <c r="A1141" s="6">
        <v>1139</v>
      </c>
      <c r="B1141" s="6" t="str">
        <f>"299420210525181217106172"</f>
        <v>299420210525181217106172</v>
      </c>
      <c r="C1141" s="6" t="s">
        <v>552</v>
      </c>
      <c r="D1141" s="6" t="str">
        <f>"金花"</f>
        <v>金花</v>
      </c>
      <c r="E1141" s="6" t="str">
        <f t="shared" si="32"/>
        <v>女</v>
      </c>
    </row>
    <row r="1142" spans="1:5" ht="30" customHeight="1">
      <c r="A1142" s="6">
        <v>1140</v>
      </c>
      <c r="B1142" s="6" t="str">
        <f>"299420210525181627106178"</f>
        <v>299420210525181627106178</v>
      </c>
      <c r="C1142" s="6" t="s">
        <v>552</v>
      </c>
      <c r="D1142" s="6" t="str">
        <f>"林珏谷"</f>
        <v>林珏谷</v>
      </c>
      <c r="E1142" s="6" t="str">
        <f t="shared" si="32"/>
        <v>女</v>
      </c>
    </row>
    <row r="1143" spans="1:5" ht="30" customHeight="1">
      <c r="A1143" s="6">
        <v>1141</v>
      </c>
      <c r="B1143" s="6" t="str">
        <f>"299420210525181746106182"</f>
        <v>299420210525181746106182</v>
      </c>
      <c r="C1143" s="6" t="s">
        <v>552</v>
      </c>
      <c r="D1143" s="6" t="str">
        <f>"王应妹"</f>
        <v>王应妹</v>
      </c>
      <c r="E1143" s="6" t="str">
        <f t="shared" si="32"/>
        <v>女</v>
      </c>
    </row>
    <row r="1144" spans="1:5" ht="30" customHeight="1">
      <c r="A1144" s="6">
        <v>1142</v>
      </c>
      <c r="B1144" s="6" t="str">
        <f>"299420210525182320106197"</f>
        <v>299420210525182320106197</v>
      </c>
      <c r="C1144" s="6" t="s">
        <v>552</v>
      </c>
      <c r="D1144" s="6" t="str">
        <f>"李专"</f>
        <v>李专</v>
      </c>
      <c r="E1144" s="6" t="str">
        <f t="shared" si="32"/>
        <v>女</v>
      </c>
    </row>
    <row r="1145" spans="1:5" ht="30" customHeight="1">
      <c r="A1145" s="6">
        <v>1143</v>
      </c>
      <c r="B1145" s="6" t="str">
        <f>"299420210525182642106209"</f>
        <v>299420210525182642106209</v>
      </c>
      <c r="C1145" s="6" t="s">
        <v>552</v>
      </c>
      <c r="D1145" s="6" t="str">
        <f>"符兰妍"</f>
        <v>符兰妍</v>
      </c>
      <c r="E1145" s="6" t="str">
        <f t="shared" si="32"/>
        <v>女</v>
      </c>
    </row>
    <row r="1146" spans="1:5" ht="30" customHeight="1">
      <c r="A1146" s="6">
        <v>1144</v>
      </c>
      <c r="B1146" s="6" t="str">
        <f>"299420210525184251106242"</f>
        <v>299420210525184251106242</v>
      </c>
      <c r="C1146" s="6" t="s">
        <v>552</v>
      </c>
      <c r="D1146" s="6" t="str">
        <f>"潘晓虹"</f>
        <v>潘晓虹</v>
      </c>
      <c r="E1146" s="6" t="str">
        <f t="shared" si="32"/>
        <v>女</v>
      </c>
    </row>
    <row r="1147" spans="1:5" ht="30" customHeight="1">
      <c r="A1147" s="6">
        <v>1145</v>
      </c>
      <c r="B1147" s="6" t="str">
        <f>"299420210525184304106243"</f>
        <v>299420210525184304106243</v>
      </c>
      <c r="C1147" s="6" t="s">
        <v>552</v>
      </c>
      <c r="D1147" s="6" t="str">
        <f>"陈媛菲"</f>
        <v>陈媛菲</v>
      </c>
      <c r="E1147" s="6" t="str">
        <f t="shared" si="32"/>
        <v>女</v>
      </c>
    </row>
    <row r="1148" spans="1:5" ht="30" customHeight="1">
      <c r="A1148" s="6">
        <v>1146</v>
      </c>
      <c r="B1148" s="6" t="str">
        <f>"299420210525184737106255"</f>
        <v>299420210525184737106255</v>
      </c>
      <c r="C1148" s="6" t="s">
        <v>552</v>
      </c>
      <c r="D1148" s="6" t="str">
        <f>"王书莉"</f>
        <v>王书莉</v>
      </c>
      <c r="E1148" s="6" t="str">
        <f t="shared" si="32"/>
        <v>女</v>
      </c>
    </row>
    <row r="1149" spans="1:5" ht="30" customHeight="1">
      <c r="A1149" s="6">
        <v>1147</v>
      </c>
      <c r="B1149" s="6" t="str">
        <f>"299420210525185417106268"</f>
        <v>299420210525185417106268</v>
      </c>
      <c r="C1149" s="6" t="s">
        <v>552</v>
      </c>
      <c r="D1149" s="6" t="str">
        <f>"马倩雯"</f>
        <v>马倩雯</v>
      </c>
      <c r="E1149" s="6" t="str">
        <f t="shared" si="32"/>
        <v>女</v>
      </c>
    </row>
    <row r="1150" spans="1:5" ht="30" customHeight="1">
      <c r="A1150" s="6">
        <v>1148</v>
      </c>
      <c r="B1150" s="6" t="str">
        <f>"299420210525185509106270"</f>
        <v>299420210525185509106270</v>
      </c>
      <c r="C1150" s="6" t="s">
        <v>552</v>
      </c>
      <c r="D1150" s="6" t="str">
        <f>"王湘怡"</f>
        <v>王湘怡</v>
      </c>
      <c r="E1150" s="6" t="str">
        <f t="shared" si="32"/>
        <v>女</v>
      </c>
    </row>
    <row r="1151" spans="1:5" ht="30" customHeight="1">
      <c r="A1151" s="6">
        <v>1149</v>
      </c>
      <c r="B1151" s="6" t="str">
        <f>"299420210525185511106271"</f>
        <v>299420210525185511106271</v>
      </c>
      <c r="C1151" s="6" t="s">
        <v>552</v>
      </c>
      <c r="D1151" s="6" t="str">
        <f>"吴梦雅"</f>
        <v>吴梦雅</v>
      </c>
      <c r="E1151" s="6" t="str">
        <f t="shared" si="32"/>
        <v>女</v>
      </c>
    </row>
    <row r="1152" spans="1:5" ht="30" customHeight="1">
      <c r="A1152" s="6">
        <v>1150</v>
      </c>
      <c r="B1152" s="6" t="str">
        <f>"299420210525190133106282"</f>
        <v>299420210525190133106282</v>
      </c>
      <c r="C1152" s="6" t="s">
        <v>552</v>
      </c>
      <c r="D1152" s="6" t="str">
        <f>"王玉婷"</f>
        <v>王玉婷</v>
      </c>
      <c r="E1152" s="6" t="str">
        <f t="shared" si="32"/>
        <v>女</v>
      </c>
    </row>
    <row r="1153" spans="1:5" ht="30" customHeight="1">
      <c r="A1153" s="6">
        <v>1151</v>
      </c>
      <c r="B1153" s="6" t="str">
        <f>"299420210525190352106287"</f>
        <v>299420210525190352106287</v>
      </c>
      <c r="C1153" s="6" t="s">
        <v>552</v>
      </c>
      <c r="D1153" s="6" t="str">
        <f>"韦美竹"</f>
        <v>韦美竹</v>
      </c>
      <c r="E1153" s="6" t="str">
        <f t="shared" si="32"/>
        <v>女</v>
      </c>
    </row>
    <row r="1154" spans="1:5" ht="30" customHeight="1">
      <c r="A1154" s="6">
        <v>1152</v>
      </c>
      <c r="B1154" s="6" t="str">
        <f>"299420210525190442106289"</f>
        <v>299420210525190442106289</v>
      </c>
      <c r="C1154" s="6" t="s">
        <v>552</v>
      </c>
      <c r="D1154" s="6" t="str">
        <f>"李淼"</f>
        <v>李淼</v>
      </c>
      <c r="E1154" s="6" t="str">
        <f t="shared" si="32"/>
        <v>女</v>
      </c>
    </row>
    <row r="1155" spans="1:5" ht="30" customHeight="1">
      <c r="A1155" s="6">
        <v>1153</v>
      </c>
      <c r="B1155" s="6" t="str">
        <f>"299420210525191319106305"</f>
        <v>299420210525191319106305</v>
      </c>
      <c r="C1155" s="6" t="s">
        <v>552</v>
      </c>
      <c r="D1155" s="6" t="str">
        <f>"苏佳佳"</f>
        <v>苏佳佳</v>
      </c>
      <c r="E1155" s="6" t="str">
        <f t="shared" si="32"/>
        <v>女</v>
      </c>
    </row>
    <row r="1156" spans="1:5" ht="30" customHeight="1">
      <c r="A1156" s="6">
        <v>1154</v>
      </c>
      <c r="B1156" s="6" t="str">
        <f>"299420210525191754106310"</f>
        <v>299420210525191754106310</v>
      </c>
      <c r="C1156" s="6" t="s">
        <v>552</v>
      </c>
      <c r="D1156" s="6" t="str">
        <f>"张昌珍"</f>
        <v>张昌珍</v>
      </c>
      <c r="E1156" s="6" t="str">
        <f t="shared" si="32"/>
        <v>女</v>
      </c>
    </row>
    <row r="1157" spans="1:5" ht="30" customHeight="1">
      <c r="A1157" s="6">
        <v>1155</v>
      </c>
      <c r="B1157" s="6" t="str">
        <f>"299420210525192416106328"</f>
        <v>299420210525192416106328</v>
      </c>
      <c r="C1157" s="6" t="s">
        <v>552</v>
      </c>
      <c r="D1157" s="6" t="str">
        <f>"云琼雨"</f>
        <v>云琼雨</v>
      </c>
      <c r="E1157" s="6" t="str">
        <f t="shared" si="32"/>
        <v>女</v>
      </c>
    </row>
    <row r="1158" spans="1:5" ht="30" customHeight="1">
      <c r="A1158" s="6">
        <v>1156</v>
      </c>
      <c r="B1158" s="6" t="str">
        <f>"299420210525192741106337"</f>
        <v>299420210525192741106337</v>
      </c>
      <c r="C1158" s="6" t="s">
        <v>552</v>
      </c>
      <c r="D1158" s="6" t="str">
        <f>"汤昌弟"</f>
        <v>汤昌弟</v>
      </c>
      <c r="E1158" s="6" t="str">
        <f>"男"</f>
        <v>男</v>
      </c>
    </row>
    <row r="1159" spans="1:5" ht="30" customHeight="1">
      <c r="A1159" s="6">
        <v>1157</v>
      </c>
      <c r="B1159" s="6" t="str">
        <f>"299420210525193757106367"</f>
        <v>299420210525193757106367</v>
      </c>
      <c r="C1159" s="6" t="s">
        <v>552</v>
      </c>
      <c r="D1159" s="6" t="str">
        <f>"吴海容"</f>
        <v>吴海容</v>
      </c>
      <c r="E1159" s="6" t="str">
        <f aca="true" t="shared" si="33" ref="E1159:E1191">"女"</f>
        <v>女</v>
      </c>
    </row>
    <row r="1160" spans="1:5" ht="30" customHeight="1">
      <c r="A1160" s="6">
        <v>1158</v>
      </c>
      <c r="B1160" s="6" t="str">
        <f>"299420210525194302106376"</f>
        <v>299420210525194302106376</v>
      </c>
      <c r="C1160" s="6" t="s">
        <v>552</v>
      </c>
      <c r="D1160" s="6" t="str">
        <f>"王冉冉"</f>
        <v>王冉冉</v>
      </c>
      <c r="E1160" s="6" t="str">
        <f t="shared" si="33"/>
        <v>女</v>
      </c>
    </row>
    <row r="1161" spans="1:5" ht="30" customHeight="1">
      <c r="A1161" s="6">
        <v>1159</v>
      </c>
      <c r="B1161" s="6" t="str">
        <f>"299420210525195411106407"</f>
        <v>299420210525195411106407</v>
      </c>
      <c r="C1161" s="6" t="s">
        <v>552</v>
      </c>
      <c r="D1161" s="6" t="str">
        <f>"李明秀"</f>
        <v>李明秀</v>
      </c>
      <c r="E1161" s="6" t="str">
        <f t="shared" si="33"/>
        <v>女</v>
      </c>
    </row>
    <row r="1162" spans="1:5" ht="30" customHeight="1">
      <c r="A1162" s="6">
        <v>1160</v>
      </c>
      <c r="B1162" s="6" t="str">
        <f>"299420210525195734106416"</f>
        <v>299420210525195734106416</v>
      </c>
      <c r="C1162" s="6" t="s">
        <v>552</v>
      </c>
      <c r="D1162" s="6" t="str">
        <f>"徐敏"</f>
        <v>徐敏</v>
      </c>
      <c r="E1162" s="6" t="str">
        <f t="shared" si="33"/>
        <v>女</v>
      </c>
    </row>
    <row r="1163" spans="1:5" ht="30" customHeight="1">
      <c r="A1163" s="6">
        <v>1161</v>
      </c>
      <c r="B1163" s="6" t="str">
        <f>"299420210525195858106420"</f>
        <v>299420210525195858106420</v>
      </c>
      <c r="C1163" s="6" t="s">
        <v>552</v>
      </c>
      <c r="D1163" s="6" t="str">
        <f>"李明惠"</f>
        <v>李明惠</v>
      </c>
      <c r="E1163" s="6" t="str">
        <f t="shared" si="33"/>
        <v>女</v>
      </c>
    </row>
    <row r="1164" spans="1:5" ht="30" customHeight="1">
      <c r="A1164" s="6">
        <v>1162</v>
      </c>
      <c r="B1164" s="6" t="str">
        <f>"299420210525201329106445"</f>
        <v>299420210525201329106445</v>
      </c>
      <c r="C1164" s="6" t="s">
        <v>552</v>
      </c>
      <c r="D1164" s="6" t="str">
        <f>"郑鲜妍"</f>
        <v>郑鲜妍</v>
      </c>
      <c r="E1164" s="6" t="str">
        <f t="shared" si="33"/>
        <v>女</v>
      </c>
    </row>
    <row r="1165" spans="1:5" ht="30" customHeight="1">
      <c r="A1165" s="6">
        <v>1163</v>
      </c>
      <c r="B1165" s="6" t="str">
        <f>"299420210525201532106449"</f>
        <v>299420210525201532106449</v>
      </c>
      <c r="C1165" s="6" t="s">
        <v>552</v>
      </c>
      <c r="D1165" s="6" t="str">
        <f>"罗谭"</f>
        <v>罗谭</v>
      </c>
      <c r="E1165" s="6" t="str">
        <f t="shared" si="33"/>
        <v>女</v>
      </c>
    </row>
    <row r="1166" spans="1:5" ht="30" customHeight="1">
      <c r="A1166" s="6">
        <v>1164</v>
      </c>
      <c r="B1166" s="6" t="str">
        <f>"299420210525202118106468"</f>
        <v>299420210525202118106468</v>
      </c>
      <c r="C1166" s="6" t="s">
        <v>552</v>
      </c>
      <c r="D1166" s="6" t="str">
        <f>"吴翠英"</f>
        <v>吴翠英</v>
      </c>
      <c r="E1166" s="6" t="str">
        <f t="shared" si="33"/>
        <v>女</v>
      </c>
    </row>
    <row r="1167" spans="1:5" ht="30" customHeight="1">
      <c r="A1167" s="6">
        <v>1165</v>
      </c>
      <c r="B1167" s="6" t="str">
        <f>"299420210525202337106475"</f>
        <v>299420210525202337106475</v>
      </c>
      <c r="C1167" s="6" t="s">
        <v>552</v>
      </c>
      <c r="D1167" s="6" t="str">
        <f>"吴可姣"</f>
        <v>吴可姣</v>
      </c>
      <c r="E1167" s="6" t="str">
        <f t="shared" si="33"/>
        <v>女</v>
      </c>
    </row>
    <row r="1168" spans="1:5" ht="30" customHeight="1">
      <c r="A1168" s="6">
        <v>1166</v>
      </c>
      <c r="B1168" s="6" t="str">
        <f>"299420210525202610106482"</f>
        <v>299420210525202610106482</v>
      </c>
      <c r="C1168" s="6" t="s">
        <v>552</v>
      </c>
      <c r="D1168" s="6" t="str">
        <f>"唐春鹏"</f>
        <v>唐春鹏</v>
      </c>
      <c r="E1168" s="6" t="str">
        <f t="shared" si="33"/>
        <v>女</v>
      </c>
    </row>
    <row r="1169" spans="1:5" ht="30" customHeight="1">
      <c r="A1169" s="6">
        <v>1167</v>
      </c>
      <c r="B1169" s="6" t="str">
        <f>"299420210525203200106498"</f>
        <v>299420210525203200106498</v>
      </c>
      <c r="C1169" s="6" t="s">
        <v>552</v>
      </c>
      <c r="D1169" s="6" t="str">
        <f>"张曼"</f>
        <v>张曼</v>
      </c>
      <c r="E1169" s="6" t="str">
        <f t="shared" si="33"/>
        <v>女</v>
      </c>
    </row>
    <row r="1170" spans="1:5" ht="30" customHeight="1">
      <c r="A1170" s="6">
        <v>1168</v>
      </c>
      <c r="B1170" s="6" t="str">
        <f>"299420210525203256106503"</f>
        <v>299420210525203256106503</v>
      </c>
      <c r="C1170" s="6" t="s">
        <v>552</v>
      </c>
      <c r="D1170" s="6" t="str">
        <f>"徐晨升"</f>
        <v>徐晨升</v>
      </c>
      <c r="E1170" s="6" t="str">
        <f t="shared" si="33"/>
        <v>女</v>
      </c>
    </row>
    <row r="1171" spans="1:5" ht="30" customHeight="1">
      <c r="A1171" s="6">
        <v>1169</v>
      </c>
      <c r="B1171" s="6" t="str">
        <f>"299420210525203603106510"</f>
        <v>299420210525203603106510</v>
      </c>
      <c r="C1171" s="6" t="s">
        <v>552</v>
      </c>
      <c r="D1171" s="6" t="str">
        <f>"林贵月"</f>
        <v>林贵月</v>
      </c>
      <c r="E1171" s="6" t="str">
        <f t="shared" si="33"/>
        <v>女</v>
      </c>
    </row>
    <row r="1172" spans="1:5" ht="30" customHeight="1">
      <c r="A1172" s="6">
        <v>1170</v>
      </c>
      <c r="B1172" s="6" t="str">
        <f>"299420210525203949106514"</f>
        <v>299420210525203949106514</v>
      </c>
      <c r="C1172" s="6" t="s">
        <v>552</v>
      </c>
      <c r="D1172" s="6" t="str">
        <f>"陈明颖"</f>
        <v>陈明颖</v>
      </c>
      <c r="E1172" s="6" t="str">
        <f t="shared" si="33"/>
        <v>女</v>
      </c>
    </row>
    <row r="1173" spans="1:5" ht="30" customHeight="1">
      <c r="A1173" s="6">
        <v>1171</v>
      </c>
      <c r="B1173" s="6" t="str">
        <f>"299420210525204201106519"</f>
        <v>299420210525204201106519</v>
      </c>
      <c r="C1173" s="6" t="s">
        <v>552</v>
      </c>
      <c r="D1173" s="6" t="str">
        <f>"郭伟伟"</f>
        <v>郭伟伟</v>
      </c>
      <c r="E1173" s="6" t="str">
        <f t="shared" si="33"/>
        <v>女</v>
      </c>
    </row>
    <row r="1174" spans="1:5" ht="30" customHeight="1">
      <c r="A1174" s="6">
        <v>1172</v>
      </c>
      <c r="B1174" s="6" t="str">
        <f>"299420210525204312106521"</f>
        <v>299420210525204312106521</v>
      </c>
      <c r="C1174" s="6" t="s">
        <v>552</v>
      </c>
      <c r="D1174" s="6" t="str">
        <f>"何欣欣"</f>
        <v>何欣欣</v>
      </c>
      <c r="E1174" s="6" t="str">
        <f t="shared" si="33"/>
        <v>女</v>
      </c>
    </row>
    <row r="1175" spans="1:5" ht="30" customHeight="1">
      <c r="A1175" s="6">
        <v>1173</v>
      </c>
      <c r="B1175" s="6" t="str">
        <f>"299420210525204842106529"</f>
        <v>299420210525204842106529</v>
      </c>
      <c r="C1175" s="6" t="s">
        <v>552</v>
      </c>
      <c r="D1175" s="6" t="str">
        <f>"陈铭蔚"</f>
        <v>陈铭蔚</v>
      </c>
      <c r="E1175" s="6" t="str">
        <f t="shared" si="33"/>
        <v>女</v>
      </c>
    </row>
    <row r="1176" spans="1:5" ht="30" customHeight="1">
      <c r="A1176" s="6">
        <v>1174</v>
      </c>
      <c r="B1176" s="6" t="str">
        <f>"299420210525205115106533"</f>
        <v>299420210525205115106533</v>
      </c>
      <c r="C1176" s="6" t="s">
        <v>552</v>
      </c>
      <c r="D1176" s="6" t="str">
        <f>"何薇"</f>
        <v>何薇</v>
      </c>
      <c r="E1176" s="6" t="str">
        <f t="shared" si="33"/>
        <v>女</v>
      </c>
    </row>
    <row r="1177" spans="1:5" ht="30" customHeight="1">
      <c r="A1177" s="6">
        <v>1175</v>
      </c>
      <c r="B1177" s="6" t="str">
        <f>"299420210525205433106537"</f>
        <v>299420210525205433106537</v>
      </c>
      <c r="C1177" s="6" t="s">
        <v>552</v>
      </c>
      <c r="D1177" s="6" t="str">
        <f>"林焕柳"</f>
        <v>林焕柳</v>
      </c>
      <c r="E1177" s="6" t="str">
        <f t="shared" si="33"/>
        <v>女</v>
      </c>
    </row>
    <row r="1178" spans="1:5" ht="30" customHeight="1">
      <c r="A1178" s="6">
        <v>1176</v>
      </c>
      <c r="B1178" s="6" t="str">
        <f>"299420210525205436106538"</f>
        <v>299420210525205436106538</v>
      </c>
      <c r="C1178" s="6" t="s">
        <v>552</v>
      </c>
      <c r="D1178" s="6" t="str">
        <f>"张慧冲"</f>
        <v>张慧冲</v>
      </c>
      <c r="E1178" s="6" t="str">
        <f t="shared" si="33"/>
        <v>女</v>
      </c>
    </row>
    <row r="1179" spans="1:5" ht="30" customHeight="1">
      <c r="A1179" s="6">
        <v>1177</v>
      </c>
      <c r="B1179" s="6" t="str">
        <f>"299420210525210117106553"</f>
        <v>299420210525210117106553</v>
      </c>
      <c r="C1179" s="6" t="s">
        <v>552</v>
      </c>
      <c r="D1179" s="6" t="str">
        <f>"龙露"</f>
        <v>龙露</v>
      </c>
      <c r="E1179" s="6" t="str">
        <f t="shared" si="33"/>
        <v>女</v>
      </c>
    </row>
    <row r="1180" spans="1:5" ht="30" customHeight="1">
      <c r="A1180" s="6">
        <v>1178</v>
      </c>
      <c r="B1180" s="6" t="str">
        <f>"299420210525210123106554"</f>
        <v>299420210525210123106554</v>
      </c>
      <c r="C1180" s="6" t="s">
        <v>552</v>
      </c>
      <c r="D1180" s="6" t="str">
        <f>"黎丽娟"</f>
        <v>黎丽娟</v>
      </c>
      <c r="E1180" s="6" t="str">
        <f t="shared" si="33"/>
        <v>女</v>
      </c>
    </row>
    <row r="1181" spans="1:5" ht="30" customHeight="1">
      <c r="A1181" s="6">
        <v>1179</v>
      </c>
      <c r="B1181" s="6" t="str">
        <f>"299420210525210943106569"</f>
        <v>299420210525210943106569</v>
      </c>
      <c r="C1181" s="6" t="s">
        <v>552</v>
      </c>
      <c r="D1181" s="6" t="str">
        <f>"祁曼玉"</f>
        <v>祁曼玉</v>
      </c>
      <c r="E1181" s="6" t="str">
        <f t="shared" si="33"/>
        <v>女</v>
      </c>
    </row>
    <row r="1182" spans="1:5" ht="30" customHeight="1">
      <c r="A1182" s="6">
        <v>1180</v>
      </c>
      <c r="B1182" s="6" t="str">
        <f>"299420210525211716106590"</f>
        <v>299420210525211716106590</v>
      </c>
      <c r="C1182" s="6" t="s">
        <v>552</v>
      </c>
      <c r="D1182" s="6" t="str">
        <f>"董海玲"</f>
        <v>董海玲</v>
      </c>
      <c r="E1182" s="6" t="str">
        <f t="shared" si="33"/>
        <v>女</v>
      </c>
    </row>
    <row r="1183" spans="1:5" ht="30" customHeight="1">
      <c r="A1183" s="6">
        <v>1181</v>
      </c>
      <c r="B1183" s="6" t="str">
        <f>"299420210525211839106595"</f>
        <v>299420210525211839106595</v>
      </c>
      <c r="C1183" s="6" t="s">
        <v>552</v>
      </c>
      <c r="D1183" s="6" t="str">
        <f>"冯露"</f>
        <v>冯露</v>
      </c>
      <c r="E1183" s="6" t="str">
        <f t="shared" si="33"/>
        <v>女</v>
      </c>
    </row>
    <row r="1184" spans="1:5" ht="30" customHeight="1">
      <c r="A1184" s="6">
        <v>1182</v>
      </c>
      <c r="B1184" s="6" t="str">
        <f>"299420210525212345106610"</f>
        <v>299420210525212345106610</v>
      </c>
      <c r="C1184" s="6" t="s">
        <v>552</v>
      </c>
      <c r="D1184" s="6" t="str">
        <f>"李倩"</f>
        <v>李倩</v>
      </c>
      <c r="E1184" s="6" t="str">
        <f t="shared" si="33"/>
        <v>女</v>
      </c>
    </row>
    <row r="1185" spans="1:5" ht="30" customHeight="1">
      <c r="A1185" s="6">
        <v>1183</v>
      </c>
      <c r="B1185" s="6" t="str">
        <f>"299420210525212758106619"</f>
        <v>299420210525212758106619</v>
      </c>
      <c r="C1185" s="6" t="s">
        <v>552</v>
      </c>
      <c r="D1185" s="6" t="str">
        <f>"张雅欣"</f>
        <v>张雅欣</v>
      </c>
      <c r="E1185" s="6" t="str">
        <f t="shared" si="33"/>
        <v>女</v>
      </c>
    </row>
    <row r="1186" spans="1:5" ht="30" customHeight="1">
      <c r="A1186" s="6">
        <v>1184</v>
      </c>
      <c r="B1186" s="6" t="str">
        <f>"299420210525213531106638"</f>
        <v>299420210525213531106638</v>
      </c>
      <c r="C1186" s="6" t="s">
        <v>552</v>
      </c>
      <c r="D1186" s="6" t="str">
        <f>"陈国珠"</f>
        <v>陈国珠</v>
      </c>
      <c r="E1186" s="6" t="str">
        <f t="shared" si="33"/>
        <v>女</v>
      </c>
    </row>
    <row r="1187" spans="1:5" ht="30" customHeight="1">
      <c r="A1187" s="6">
        <v>1185</v>
      </c>
      <c r="B1187" s="6" t="str">
        <f>"299420210525213549106639"</f>
        <v>299420210525213549106639</v>
      </c>
      <c r="C1187" s="6" t="s">
        <v>552</v>
      </c>
      <c r="D1187" s="6" t="str">
        <f>"陈颖"</f>
        <v>陈颖</v>
      </c>
      <c r="E1187" s="6" t="str">
        <f t="shared" si="33"/>
        <v>女</v>
      </c>
    </row>
    <row r="1188" spans="1:5" ht="30" customHeight="1">
      <c r="A1188" s="6">
        <v>1186</v>
      </c>
      <c r="B1188" s="6" t="str">
        <f>"299420210525214529106666"</f>
        <v>299420210525214529106666</v>
      </c>
      <c r="C1188" s="6" t="s">
        <v>552</v>
      </c>
      <c r="D1188" s="6" t="str">
        <f>"刘俊余"</f>
        <v>刘俊余</v>
      </c>
      <c r="E1188" s="6" t="str">
        <f t="shared" si="33"/>
        <v>女</v>
      </c>
    </row>
    <row r="1189" spans="1:5" ht="30" customHeight="1">
      <c r="A1189" s="6">
        <v>1187</v>
      </c>
      <c r="B1189" s="6" t="str">
        <f>"299420210525214633106669"</f>
        <v>299420210525214633106669</v>
      </c>
      <c r="C1189" s="6" t="s">
        <v>552</v>
      </c>
      <c r="D1189" s="6" t="str">
        <f>"王艺婷"</f>
        <v>王艺婷</v>
      </c>
      <c r="E1189" s="6" t="str">
        <f t="shared" si="33"/>
        <v>女</v>
      </c>
    </row>
    <row r="1190" spans="1:5" ht="30" customHeight="1">
      <c r="A1190" s="6">
        <v>1188</v>
      </c>
      <c r="B1190" s="6" t="str">
        <f>"299420210525214656106670"</f>
        <v>299420210525214656106670</v>
      </c>
      <c r="C1190" s="6" t="s">
        <v>552</v>
      </c>
      <c r="D1190" s="6" t="str">
        <f>"陈欣"</f>
        <v>陈欣</v>
      </c>
      <c r="E1190" s="6" t="str">
        <f t="shared" si="33"/>
        <v>女</v>
      </c>
    </row>
    <row r="1191" spans="1:5" ht="30" customHeight="1">
      <c r="A1191" s="6">
        <v>1189</v>
      </c>
      <c r="B1191" s="6" t="str">
        <f>"299420210525215050106678"</f>
        <v>299420210525215050106678</v>
      </c>
      <c r="C1191" s="6" t="s">
        <v>552</v>
      </c>
      <c r="D1191" s="6" t="str">
        <f>"冯欣雅"</f>
        <v>冯欣雅</v>
      </c>
      <c r="E1191" s="6" t="str">
        <f t="shared" si="33"/>
        <v>女</v>
      </c>
    </row>
    <row r="1192" spans="1:5" ht="30" customHeight="1">
      <c r="A1192" s="6">
        <v>1190</v>
      </c>
      <c r="B1192" s="6" t="str">
        <f>"299420210525215606106689"</f>
        <v>299420210525215606106689</v>
      </c>
      <c r="C1192" s="6" t="s">
        <v>552</v>
      </c>
      <c r="D1192" s="6" t="str">
        <f>"黄镜名"</f>
        <v>黄镜名</v>
      </c>
      <c r="E1192" s="6" t="str">
        <f>"男"</f>
        <v>男</v>
      </c>
    </row>
    <row r="1193" spans="1:5" ht="30" customHeight="1">
      <c r="A1193" s="6">
        <v>1191</v>
      </c>
      <c r="B1193" s="6" t="str">
        <f>"299420210525215811106693"</f>
        <v>299420210525215811106693</v>
      </c>
      <c r="C1193" s="6" t="s">
        <v>552</v>
      </c>
      <c r="D1193" s="6" t="str">
        <f>"黎婷婷"</f>
        <v>黎婷婷</v>
      </c>
      <c r="E1193" s="6" t="str">
        <f aca="true" t="shared" si="34" ref="E1193:E1207">"女"</f>
        <v>女</v>
      </c>
    </row>
    <row r="1194" spans="1:5" ht="30" customHeight="1">
      <c r="A1194" s="6">
        <v>1192</v>
      </c>
      <c r="B1194" s="6" t="str">
        <f>"299420210525220132106701"</f>
        <v>299420210525220132106701</v>
      </c>
      <c r="C1194" s="6" t="s">
        <v>552</v>
      </c>
      <c r="D1194" s="6" t="str">
        <f>"陈秋香"</f>
        <v>陈秋香</v>
      </c>
      <c r="E1194" s="6" t="str">
        <f t="shared" si="34"/>
        <v>女</v>
      </c>
    </row>
    <row r="1195" spans="1:5" ht="30" customHeight="1">
      <c r="A1195" s="6">
        <v>1193</v>
      </c>
      <c r="B1195" s="6" t="str">
        <f>"299420210525220325106707"</f>
        <v>299420210525220325106707</v>
      </c>
      <c r="C1195" s="6" t="s">
        <v>552</v>
      </c>
      <c r="D1195" s="6" t="str">
        <f>"任晶"</f>
        <v>任晶</v>
      </c>
      <c r="E1195" s="6" t="str">
        <f t="shared" si="34"/>
        <v>女</v>
      </c>
    </row>
    <row r="1196" spans="1:5" ht="30" customHeight="1">
      <c r="A1196" s="6">
        <v>1194</v>
      </c>
      <c r="B1196" s="6" t="str">
        <f>"299420210525221417106728"</f>
        <v>299420210525221417106728</v>
      </c>
      <c r="C1196" s="6" t="s">
        <v>552</v>
      </c>
      <c r="D1196" s="6" t="str">
        <f>"吴慧"</f>
        <v>吴慧</v>
      </c>
      <c r="E1196" s="6" t="str">
        <f t="shared" si="34"/>
        <v>女</v>
      </c>
    </row>
    <row r="1197" spans="1:5" ht="30" customHeight="1">
      <c r="A1197" s="6">
        <v>1195</v>
      </c>
      <c r="B1197" s="6" t="str">
        <f>"299420210525221501106729"</f>
        <v>299420210525221501106729</v>
      </c>
      <c r="C1197" s="6" t="s">
        <v>552</v>
      </c>
      <c r="D1197" s="6" t="str">
        <f>"邓敏"</f>
        <v>邓敏</v>
      </c>
      <c r="E1197" s="6" t="str">
        <f t="shared" si="34"/>
        <v>女</v>
      </c>
    </row>
    <row r="1198" spans="1:5" ht="30" customHeight="1">
      <c r="A1198" s="6">
        <v>1196</v>
      </c>
      <c r="B1198" s="6" t="str">
        <f>"299420210525222047106739"</f>
        <v>299420210525222047106739</v>
      </c>
      <c r="C1198" s="6" t="s">
        <v>552</v>
      </c>
      <c r="D1198" s="6" t="str">
        <f>"吴欢"</f>
        <v>吴欢</v>
      </c>
      <c r="E1198" s="6" t="str">
        <f t="shared" si="34"/>
        <v>女</v>
      </c>
    </row>
    <row r="1199" spans="1:5" ht="30" customHeight="1">
      <c r="A1199" s="6">
        <v>1197</v>
      </c>
      <c r="B1199" s="6" t="str">
        <f>"299420210525222058106741"</f>
        <v>299420210525222058106741</v>
      </c>
      <c r="C1199" s="6" t="s">
        <v>552</v>
      </c>
      <c r="D1199" s="6" t="str">
        <f>"秦超"</f>
        <v>秦超</v>
      </c>
      <c r="E1199" s="6" t="str">
        <f t="shared" si="34"/>
        <v>女</v>
      </c>
    </row>
    <row r="1200" spans="1:5" ht="30" customHeight="1">
      <c r="A1200" s="6">
        <v>1198</v>
      </c>
      <c r="B1200" s="6" t="str">
        <f>"299420210525222756106756"</f>
        <v>299420210525222756106756</v>
      </c>
      <c r="C1200" s="6" t="s">
        <v>552</v>
      </c>
      <c r="D1200" s="6" t="str">
        <f>"徐婷"</f>
        <v>徐婷</v>
      </c>
      <c r="E1200" s="6" t="str">
        <f t="shared" si="34"/>
        <v>女</v>
      </c>
    </row>
    <row r="1201" spans="1:5" ht="30" customHeight="1">
      <c r="A1201" s="6">
        <v>1199</v>
      </c>
      <c r="B1201" s="6" t="str">
        <f>"299420210525222940106760"</f>
        <v>299420210525222940106760</v>
      </c>
      <c r="C1201" s="6" t="s">
        <v>552</v>
      </c>
      <c r="D1201" s="6" t="str">
        <f>"黎金丽"</f>
        <v>黎金丽</v>
      </c>
      <c r="E1201" s="6" t="str">
        <f t="shared" si="34"/>
        <v>女</v>
      </c>
    </row>
    <row r="1202" spans="1:5" ht="30" customHeight="1">
      <c r="A1202" s="6">
        <v>1200</v>
      </c>
      <c r="B1202" s="6" t="str">
        <f>"299420210525222957106761"</f>
        <v>299420210525222957106761</v>
      </c>
      <c r="C1202" s="6" t="s">
        <v>552</v>
      </c>
      <c r="D1202" s="6" t="str">
        <f>"陈颜钰"</f>
        <v>陈颜钰</v>
      </c>
      <c r="E1202" s="6" t="str">
        <f t="shared" si="34"/>
        <v>女</v>
      </c>
    </row>
    <row r="1203" spans="1:5" ht="30" customHeight="1">
      <c r="A1203" s="6">
        <v>1201</v>
      </c>
      <c r="B1203" s="6" t="str">
        <f>"299420210525223149106766"</f>
        <v>299420210525223149106766</v>
      </c>
      <c r="C1203" s="6" t="s">
        <v>552</v>
      </c>
      <c r="D1203" s="6" t="str">
        <f>"周媚"</f>
        <v>周媚</v>
      </c>
      <c r="E1203" s="6" t="str">
        <f t="shared" si="34"/>
        <v>女</v>
      </c>
    </row>
    <row r="1204" spans="1:5" ht="30" customHeight="1">
      <c r="A1204" s="6">
        <v>1202</v>
      </c>
      <c r="B1204" s="6" t="str">
        <f>"299420210525223455106774"</f>
        <v>299420210525223455106774</v>
      </c>
      <c r="C1204" s="6" t="s">
        <v>552</v>
      </c>
      <c r="D1204" s="6" t="str">
        <f>"孔雁妮"</f>
        <v>孔雁妮</v>
      </c>
      <c r="E1204" s="6" t="str">
        <f t="shared" si="34"/>
        <v>女</v>
      </c>
    </row>
    <row r="1205" spans="1:5" ht="30" customHeight="1">
      <c r="A1205" s="6">
        <v>1203</v>
      </c>
      <c r="B1205" s="6" t="str">
        <f>"299420210525223850106781"</f>
        <v>299420210525223850106781</v>
      </c>
      <c r="C1205" s="6" t="s">
        <v>552</v>
      </c>
      <c r="D1205" s="6" t="str">
        <f>"钟敏妮"</f>
        <v>钟敏妮</v>
      </c>
      <c r="E1205" s="6" t="str">
        <f t="shared" si="34"/>
        <v>女</v>
      </c>
    </row>
    <row r="1206" spans="1:5" ht="30" customHeight="1">
      <c r="A1206" s="6">
        <v>1204</v>
      </c>
      <c r="B1206" s="6" t="str">
        <f>"299420210525223954106784"</f>
        <v>299420210525223954106784</v>
      </c>
      <c r="C1206" s="6" t="s">
        <v>552</v>
      </c>
      <c r="D1206" s="6" t="str">
        <f>"吴斯敏"</f>
        <v>吴斯敏</v>
      </c>
      <c r="E1206" s="6" t="str">
        <f t="shared" si="34"/>
        <v>女</v>
      </c>
    </row>
    <row r="1207" spans="1:5" ht="30" customHeight="1">
      <c r="A1207" s="6">
        <v>1205</v>
      </c>
      <c r="B1207" s="6" t="str">
        <f>"299420210525224254106793"</f>
        <v>299420210525224254106793</v>
      </c>
      <c r="C1207" s="6" t="s">
        <v>552</v>
      </c>
      <c r="D1207" s="6" t="str">
        <f>"黄紫钰"</f>
        <v>黄紫钰</v>
      </c>
      <c r="E1207" s="6" t="str">
        <f t="shared" si="34"/>
        <v>女</v>
      </c>
    </row>
    <row r="1208" spans="1:5" ht="30" customHeight="1">
      <c r="A1208" s="6">
        <v>1206</v>
      </c>
      <c r="B1208" s="6" t="str">
        <f>"299420210525225037106805"</f>
        <v>299420210525225037106805</v>
      </c>
      <c r="C1208" s="6" t="s">
        <v>552</v>
      </c>
      <c r="D1208" s="6" t="str">
        <f>"陈良跃"</f>
        <v>陈良跃</v>
      </c>
      <c r="E1208" s="6" t="str">
        <f>"男"</f>
        <v>男</v>
      </c>
    </row>
    <row r="1209" spans="1:5" ht="30" customHeight="1">
      <c r="A1209" s="6">
        <v>1207</v>
      </c>
      <c r="B1209" s="6" t="str">
        <f>"299420210525230158106825"</f>
        <v>299420210525230158106825</v>
      </c>
      <c r="C1209" s="6" t="s">
        <v>552</v>
      </c>
      <c r="D1209" s="6" t="str">
        <f>"符剑艳"</f>
        <v>符剑艳</v>
      </c>
      <c r="E1209" s="6" t="str">
        <f aca="true" t="shared" si="35" ref="E1209:E1215">"女"</f>
        <v>女</v>
      </c>
    </row>
    <row r="1210" spans="1:5" ht="30" customHeight="1">
      <c r="A1210" s="6">
        <v>1208</v>
      </c>
      <c r="B1210" s="6" t="str">
        <f>"299420210525230220106826"</f>
        <v>299420210525230220106826</v>
      </c>
      <c r="C1210" s="6" t="s">
        <v>552</v>
      </c>
      <c r="D1210" s="6" t="str">
        <f>"李素红"</f>
        <v>李素红</v>
      </c>
      <c r="E1210" s="6" t="str">
        <f t="shared" si="35"/>
        <v>女</v>
      </c>
    </row>
    <row r="1211" spans="1:5" ht="30" customHeight="1">
      <c r="A1211" s="6">
        <v>1209</v>
      </c>
      <c r="B1211" s="6" t="str">
        <f>"299420210525230444106828"</f>
        <v>299420210525230444106828</v>
      </c>
      <c r="C1211" s="6" t="s">
        <v>552</v>
      </c>
      <c r="D1211" s="6" t="str">
        <f>"欧阳咏韵"</f>
        <v>欧阳咏韵</v>
      </c>
      <c r="E1211" s="6" t="str">
        <f t="shared" si="35"/>
        <v>女</v>
      </c>
    </row>
    <row r="1212" spans="1:5" ht="30" customHeight="1">
      <c r="A1212" s="6">
        <v>1210</v>
      </c>
      <c r="B1212" s="6" t="str">
        <f>"299420210525230605106831"</f>
        <v>299420210525230605106831</v>
      </c>
      <c r="C1212" s="6" t="s">
        <v>552</v>
      </c>
      <c r="D1212" s="6" t="str">
        <f>"黄钰斐"</f>
        <v>黄钰斐</v>
      </c>
      <c r="E1212" s="6" t="str">
        <f t="shared" si="35"/>
        <v>女</v>
      </c>
    </row>
    <row r="1213" spans="1:5" ht="30" customHeight="1">
      <c r="A1213" s="6">
        <v>1211</v>
      </c>
      <c r="B1213" s="6" t="str">
        <f>"299420210525230847106834"</f>
        <v>299420210525230847106834</v>
      </c>
      <c r="C1213" s="6" t="s">
        <v>552</v>
      </c>
      <c r="D1213" s="6" t="str">
        <f>"吴芳娃"</f>
        <v>吴芳娃</v>
      </c>
      <c r="E1213" s="6" t="str">
        <f t="shared" si="35"/>
        <v>女</v>
      </c>
    </row>
    <row r="1214" spans="1:5" ht="30" customHeight="1">
      <c r="A1214" s="6">
        <v>1212</v>
      </c>
      <c r="B1214" s="6" t="str">
        <f>"299420210525230933106836"</f>
        <v>299420210525230933106836</v>
      </c>
      <c r="C1214" s="6" t="s">
        <v>552</v>
      </c>
      <c r="D1214" s="6" t="str">
        <f>"董新楠"</f>
        <v>董新楠</v>
      </c>
      <c r="E1214" s="6" t="str">
        <f t="shared" si="35"/>
        <v>女</v>
      </c>
    </row>
    <row r="1215" spans="1:5" ht="30" customHeight="1">
      <c r="A1215" s="6">
        <v>1213</v>
      </c>
      <c r="B1215" s="6" t="str">
        <f>"299420210525231008106840"</f>
        <v>299420210525231008106840</v>
      </c>
      <c r="C1215" s="6" t="s">
        <v>552</v>
      </c>
      <c r="D1215" s="6" t="str">
        <f>"王海玲"</f>
        <v>王海玲</v>
      </c>
      <c r="E1215" s="6" t="str">
        <f t="shared" si="35"/>
        <v>女</v>
      </c>
    </row>
    <row r="1216" spans="1:5" ht="30" customHeight="1">
      <c r="A1216" s="6">
        <v>1214</v>
      </c>
      <c r="B1216" s="6" t="str">
        <f>"299420210525231140106842"</f>
        <v>299420210525231140106842</v>
      </c>
      <c r="C1216" s="6" t="s">
        <v>552</v>
      </c>
      <c r="D1216" s="6" t="str">
        <f>"林道良"</f>
        <v>林道良</v>
      </c>
      <c r="E1216" s="6" t="str">
        <f>"男"</f>
        <v>男</v>
      </c>
    </row>
    <row r="1217" spans="1:5" ht="30" customHeight="1">
      <c r="A1217" s="6">
        <v>1215</v>
      </c>
      <c r="B1217" s="6" t="str">
        <f>"299420210525232251106852"</f>
        <v>299420210525232251106852</v>
      </c>
      <c r="C1217" s="6" t="s">
        <v>552</v>
      </c>
      <c r="D1217" s="6" t="str">
        <f>"黎燕花 "</f>
        <v>黎燕花 </v>
      </c>
      <c r="E1217" s="6" t="str">
        <f>"女"</f>
        <v>女</v>
      </c>
    </row>
    <row r="1218" spans="1:5" ht="30" customHeight="1">
      <c r="A1218" s="6">
        <v>1216</v>
      </c>
      <c r="B1218" s="6" t="str">
        <f>"299420210525233205106867"</f>
        <v>299420210525233205106867</v>
      </c>
      <c r="C1218" s="6" t="s">
        <v>552</v>
      </c>
      <c r="D1218" s="6" t="str">
        <f>"文侨花"</f>
        <v>文侨花</v>
      </c>
      <c r="E1218" s="6" t="str">
        <f>"女"</f>
        <v>女</v>
      </c>
    </row>
    <row r="1219" spans="1:5" ht="30" customHeight="1">
      <c r="A1219" s="6">
        <v>1217</v>
      </c>
      <c r="B1219" s="6" t="str">
        <f>"299420210525235650106900"</f>
        <v>299420210525235650106900</v>
      </c>
      <c r="C1219" s="6" t="s">
        <v>552</v>
      </c>
      <c r="D1219" s="6" t="str">
        <f>"李小丽"</f>
        <v>李小丽</v>
      </c>
      <c r="E1219" s="6" t="str">
        <f>"女"</f>
        <v>女</v>
      </c>
    </row>
    <row r="1220" spans="1:5" ht="30" customHeight="1">
      <c r="A1220" s="6">
        <v>1218</v>
      </c>
      <c r="B1220" s="6" t="str">
        <f>"299420210526004205106928"</f>
        <v>299420210526004205106928</v>
      </c>
      <c r="C1220" s="6" t="s">
        <v>552</v>
      </c>
      <c r="D1220" s="6" t="str">
        <f>"郑庆燕"</f>
        <v>郑庆燕</v>
      </c>
      <c r="E1220" s="6" t="str">
        <f>"女"</f>
        <v>女</v>
      </c>
    </row>
    <row r="1221" spans="1:5" ht="30" customHeight="1">
      <c r="A1221" s="6">
        <v>1219</v>
      </c>
      <c r="B1221" s="6" t="str">
        <f>"299420210526065631106949"</f>
        <v>299420210526065631106949</v>
      </c>
      <c r="C1221" s="6" t="s">
        <v>552</v>
      </c>
      <c r="D1221" s="6" t="str">
        <f>"陈尼"</f>
        <v>陈尼</v>
      </c>
      <c r="E1221" s="6" t="str">
        <f>"女"</f>
        <v>女</v>
      </c>
    </row>
    <row r="1222" spans="1:5" ht="30" customHeight="1">
      <c r="A1222" s="6">
        <v>1220</v>
      </c>
      <c r="B1222" s="6" t="str">
        <f>"299420210526073209106956"</f>
        <v>299420210526073209106956</v>
      </c>
      <c r="C1222" s="6" t="s">
        <v>552</v>
      </c>
      <c r="D1222" s="6" t="str">
        <f>"刘泽华"</f>
        <v>刘泽华</v>
      </c>
      <c r="E1222" s="6" t="str">
        <f>"男"</f>
        <v>男</v>
      </c>
    </row>
    <row r="1223" spans="1:5" ht="30" customHeight="1">
      <c r="A1223" s="6">
        <v>1221</v>
      </c>
      <c r="B1223" s="6" t="str">
        <f>"299420210526074434106963"</f>
        <v>299420210526074434106963</v>
      </c>
      <c r="C1223" s="6" t="s">
        <v>552</v>
      </c>
      <c r="D1223" s="6" t="str">
        <f>"孙小玉"</f>
        <v>孙小玉</v>
      </c>
      <c r="E1223" s="6" t="str">
        <f>"女"</f>
        <v>女</v>
      </c>
    </row>
    <row r="1224" spans="1:5" ht="30" customHeight="1">
      <c r="A1224" s="6">
        <v>1222</v>
      </c>
      <c r="B1224" s="6" t="str">
        <f>"299420210526075642106971"</f>
        <v>299420210526075642106971</v>
      </c>
      <c r="C1224" s="6" t="s">
        <v>552</v>
      </c>
      <c r="D1224" s="6" t="str">
        <f>"符罗娜"</f>
        <v>符罗娜</v>
      </c>
      <c r="E1224" s="6" t="str">
        <f>"女"</f>
        <v>女</v>
      </c>
    </row>
    <row r="1225" spans="1:5" ht="30" customHeight="1">
      <c r="A1225" s="6">
        <v>1223</v>
      </c>
      <c r="B1225" s="6" t="str">
        <f>"299420210526081702106994"</f>
        <v>299420210526081702106994</v>
      </c>
      <c r="C1225" s="6" t="s">
        <v>552</v>
      </c>
      <c r="D1225" s="6" t="str">
        <f>"易娜"</f>
        <v>易娜</v>
      </c>
      <c r="E1225" s="6" t="str">
        <f>"女"</f>
        <v>女</v>
      </c>
    </row>
    <row r="1226" spans="1:5" ht="30" customHeight="1">
      <c r="A1226" s="6">
        <v>1224</v>
      </c>
      <c r="B1226" s="6" t="str">
        <f>"299420210526082744107003"</f>
        <v>299420210526082744107003</v>
      </c>
      <c r="C1226" s="6" t="s">
        <v>552</v>
      </c>
      <c r="D1226" s="6" t="str">
        <f>"周振誉"</f>
        <v>周振誉</v>
      </c>
      <c r="E1226" s="6" t="str">
        <f>"男"</f>
        <v>男</v>
      </c>
    </row>
    <row r="1227" spans="1:5" ht="30" customHeight="1">
      <c r="A1227" s="6">
        <v>1225</v>
      </c>
      <c r="B1227" s="6" t="str">
        <f>"299420210526084901107039"</f>
        <v>299420210526084901107039</v>
      </c>
      <c r="C1227" s="6" t="s">
        <v>552</v>
      </c>
      <c r="D1227" s="6" t="str">
        <f>"李英芷"</f>
        <v>李英芷</v>
      </c>
      <c r="E1227" s="6" t="str">
        <f>"女"</f>
        <v>女</v>
      </c>
    </row>
    <row r="1228" spans="1:5" ht="30" customHeight="1">
      <c r="A1228" s="6">
        <v>1226</v>
      </c>
      <c r="B1228" s="6" t="str">
        <f>"299420210526084946107043"</f>
        <v>299420210526084946107043</v>
      </c>
      <c r="C1228" s="6" t="s">
        <v>552</v>
      </c>
      <c r="D1228" s="6" t="str">
        <f>"吕英春"</f>
        <v>吕英春</v>
      </c>
      <c r="E1228" s="6" t="str">
        <f>"女"</f>
        <v>女</v>
      </c>
    </row>
    <row r="1229" spans="1:5" ht="30" customHeight="1">
      <c r="A1229" s="6">
        <v>1227</v>
      </c>
      <c r="B1229" s="6" t="str">
        <f>"299420210526085004107044"</f>
        <v>299420210526085004107044</v>
      </c>
      <c r="C1229" s="6" t="s">
        <v>552</v>
      </c>
      <c r="D1229" s="6" t="str">
        <f>"陈子妍"</f>
        <v>陈子妍</v>
      </c>
      <c r="E1229" s="6" t="str">
        <f>"女"</f>
        <v>女</v>
      </c>
    </row>
    <row r="1230" spans="1:5" ht="30" customHeight="1">
      <c r="A1230" s="6">
        <v>1228</v>
      </c>
      <c r="B1230" s="6" t="str">
        <f>"299420210526085441107051"</f>
        <v>299420210526085441107051</v>
      </c>
      <c r="C1230" s="6" t="s">
        <v>552</v>
      </c>
      <c r="D1230" s="6" t="str">
        <f>"吴勰勰"</f>
        <v>吴勰勰</v>
      </c>
      <c r="E1230" s="6" t="str">
        <f>"男"</f>
        <v>男</v>
      </c>
    </row>
    <row r="1231" spans="1:5" ht="30" customHeight="1">
      <c r="A1231" s="6">
        <v>1229</v>
      </c>
      <c r="B1231" s="6" t="str">
        <f>"299420210526091227107077"</f>
        <v>299420210526091227107077</v>
      </c>
      <c r="C1231" s="6" t="s">
        <v>552</v>
      </c>
      <c r="D1231" s="6" t="str">
        <f>"杜财俐"</f>
        <v>杜财俐</v>
      </c>
      <c r="E1231" s="6" t="str">
        <f>"女"</f>
        <v>女</v>
      </c>
    </row>
    <row r="1232" spans="1:5" ht="30" customHeight="1">
      <c r="A1232" s="6">
        <v>1230</v>
      </c>
      <c r="B1232" s="6" t="str">
        <f>"299420210526091604107087"</f>
        <v>299420210526091604107087</v>
      </c>
      <c r="C1232" s="6" t="s">
        <v>552</v>
      </c>
      <c r="D1232" s="6" t="str">
        <f>"宋雁"</f>
        <v>宋雁</v>
      </c>
      <c r="E1232" s="6" t="str">
        <f>"女"</f>
        <v>女</v>
      </c>
    </row>
    <row r="1233" spans="1:5" ht="30" customHeight="1">
      <c r="A1233" s="6">
        <v>1231</v>
      </c>
      <c r="B1233" s="6" t="str">
        <f>"299420210526091811107095"</f>
        <v>299420210526091811107095</v>
      </c>
      <c r="C1233" s="6" t="s">
        <v>552</v>
      </c>
      <c r="D1233" s="6" t="str">
        <f>"陈香"</f>
        <v>陈香</v>
      </c>
      <c r="E1233" s="6" t="str">
        <f>"女"</f>
        <v>女</v>
      </c>
    </row>
    <row r="1234" spans="1:5" ht="30" customHeight="1">
      <c r="A1234" s="6">
        <v>1232</v>
      </c>
      <c r="B1234" s="6" t="str">
        <f>"299420210526092206107103"</f>
        <v>299420210526092206107103</v>
      </c>
      <c r="C1234" s="6" t="s">
        <v>552</v>
      </c>
      <c r="D1234" s="6" t="str">
        <f>"邢嘉嘉"</f>
        <v>邢嘉嘉</v>
      </c>
      <c r="E1234" s="6" t="str">
        <f>"女"</f>
        <v>女</v>
      </c>
    </row>
    <row r="1235" spans="1:5" ht="30" customHeight="1">
      <c r="A1235" s="6">
        <v>1233</v>
      </c>
      <c r="B1235" s="6" t="str">
        <f>"299420210526092209107104"</f>
        <v>299420210526092209107104</v>
      </c>
      <c r="C1235" s="6" t="s">
        <v>552</v>
      </c>
      <c r="D1235" s="6" t="str">
        <f>"陈丹丹"</f>
        <v>陈丹丹</v>
      </c>
      <c r="E1235" s="6" t="str">
        <f>"女"</f>
        <v>女</v>
      </c>
    </row>
    <row r="1236" spans="1:5" ht="30" customHeight="1">
      <c r="A1236" s="6">
        <v>1234</v>
      </c>
      <c r="B1236" s="6" t="str">
        <f>"299420210526092626107110"</f>
        <v>299420210526092626107110</v>
      </c>
      <c r="C1236" s="6" t="s">
        <v>552</v>
      </c>
      <c r="D1236" s="6" t="str">
        <f>"刘建挺"</f>
        <v>刘建挺</v>
      </c>
      <c r="E1236" s="6" t="str">
        <f>"男"</f>
        <v>男</v>
      </c>
    </row>
    <row r="1237" spans="1:5" ht="30" customHeight="1">
      <c r="A1237" s="6">
        <v>1235</v>
      </c>
      <c r="B1237" s="6" t="str">
        <f>"299420210526092746107116"</f>
        <v>299420210526092746107116</v>
      </c>
      <c r="C1237" s="6" t="s">
        <v>552</v>
      </c>
      <c r="D1237" s="6" t="str">
        <f>"陈嫦初"</f>
        <v>陈嫦初</v>
      </c>
      <c r="E1237" s="6" t="str">
        <f aca="true" t="shared" si="36" ref="E1237:E1276">"女"</f>
        <v>女</v>
      </c>
    </row>
    <row r="1238" spans="1:5" ht="30" customHeight="1">
      <c r="A1238" s="6">
        <v>1236</v>
      </c>
      <c r="B1238" s="6" t="str">
        <f>"299420210526092916107121"</f>
        <v>299420210526092916107121</v>
      </c>
      <c r="C1238" s="6" t="s">
        <v>552</v>
      </c>
      <c r="D1238" s="6" t="str">
        <f>"陈艳"</f>
        <v>陈艳</v>
      </c>
      <c r="E1238" s="6" t="str">
        <f t="shared" si="36"/>
        <v>女</v>
      </c>
    </row>
    <row r="1239" spans="1:5" ht="30" customHeight="1">
      <c r="A1239" s="6">
        <v>1237</v>
      </c>
      <c r="B1239" s="6" t="str">
        <f>"299420210526093712107134"</f>
        <v>299420210526093712107134</v>
      </c>
      <c r="C1239" s="6" t="s">
        <v>552</v>
      </c>
      <c r="D1239" s="6" t="str">
        <f>"王海兰"</f>
        <v>王海兰</v>
      </c>
      <c r="E1239" s="6" t="str">
        <f t="shared" si="36"/>
        <v>女</v>
      </c>
    </row>
    <row r="1240" spans="1:5" ht="30" customHeight="1">
      <c r="A1240" s="6">
        <v>1238</v>
      </c>
      <c r="B1240" s="6" t="str">
        <f>"299420210526094038107149"</f>
        <v>299420210526094038107149</v>
      </c>
      <c r="C1240" s="6" t="s">
        <v>552</v>
      </c>
      <c r="D1240" s="6" t="str">
        <f>"李倩"</f>
        <v>李倩</v>
      </c>
      <c r="E1240" s="6" t="str">
        <f t="shared" si="36"/>
        <v>女</v>
      </c>
    </row>
    <row r="1241" spans="1:5" ht="30" customHeight="1">
      <c r="A1241" s="6">
        <v>1239</v>
      </c>
      <c r="B1241" s="6" t="str">
        <f>"299420210526095033107170"</f>
        <v>299420210526095033107170</v>
      </c>
      <c r="C1241" s="6" t="s">
        <v>552</v>
      </c>
      <c r="D1241" s="6" t="str">
        <f>"何怡"</f>
        <v>何怡</v>
      </c>
      <c r="E1241" s="6" t="str">
        <f t="shared" si="36"/>
        <v>女</v>
      </c>
    </row>
    <row r="1242" spans="1:5" ht="30" customHeight="1">
      <c r="A1242" s="6">
        <v>1240</v>
      </c>
      <c r="B1242" s="6" t="str">
        <f>"299420210526095508107176"</f>
        <v>299420210526095508107176</v>
      </c>
      <c r="C1242" s="6" t="s">
        <v>552</v>
      </c>
      <c r="D1242" s="6" t="str">
        <f>"郑丽银"</f>
        <v>郑丽银</v>
      </c>
      <c r="E1242" s="6" t="str">
        <f t="shared" si="36"/>
        <v>女</v>
      </c>
    </row>
    <row r="1243" spans="1:5" ht="30" customHeight="1">
      <c r="A1243" s="6">
        <v>1241</v>
      </c>
      <c r="B1243" s="6" t="str">
        <f>"299420210526095542107178"</f>
        <v>299420210526095542107178</v>
      </c>
      <c r="C1243" s="6" t="s">
        <v>552</v>
      </c>
      <c r="D1243" s="6" t="str">
        <f>"陈娴晶"</f>
        <v>陈娴晶</v>
      </c>
      <c r="E1243" s="6" t="str">
        <f t="shared" si="36"/>
        <v>女</v>
      </c>
    </row>
    <row r="1244" spans="1:5" ht="30" customHeight="1">
      <c r="A1244" s="6">
        <v>1242</v>
      </c>
      <c r="B1244" s="6" t="str">
        <f>"299420210526102301107262"</f>
        <v>299420210526102301107262</v>
      </c>
      <c r="C1244" s="6" t="s">
        <v>552</v>
      </c>
      <c r="D1244" s="6" t="str">
        <f>"林雯"</f>
        <v>林雯</v>
      </c>
      <c r="E1244" s="6" t="str">
        <f t="shared" si="36"/>
        <v>女</v>
      </c>
    </row>
    <row r="1245" spans="1:5" ht="30" customHeight="1">
      <c r="A1245" s="6">
        <v>1243</v>
      </c>
      <c r="B1245" s="6" t="str">
        <f>"299420210526102330107264"</f>
        <v>299420210526102330107264</v>
      </c>
      <c r="C1245" s="6" t="s">
        <v>552</v>
      </c>
      <c r="D1245" s="6" t="str">
        <f>"陈思颖"</f>
        <v>陈思颖</v>
      </c>
      <c r="E1245" s="6" t="str">
        <f t="shared" si="36"/>
        <v>女</v>
      </c>
    </row>
    <row r="1246" spans="1:5" ht="30" customHeight="1">
      <c r="A1246" s="6">
        <v>1244</v>
      </c>
      <c r="B1246" s="6" t="str">
        <f>"299420210526102739107275"</f>
        <v>299420210526102739107275</v>
      </c>
      <c r="C1246" s="6" t="s">
        <v>552</v>
      </c>
      <c r="D1246" s="6" t="str">
        <f>"林慧芳"</f>
        <v>林慧芳</v>
      </c>
      <c r="E1246" s="6" t="str">
        <f t="shared" si="36"/>
        <v>女</v>
      </c>
    </row>
    <row r="1247" spans="1:5" ht="30" customHeight="1">
      <c r="A1247" s="6">
        <v>1245</v>
      </c>
      <c r="B1247" s="6" t="str">
        <f>"299420210526103017107280"</f>
        <v>299420210526103017107280</v>
      </c>
      <c r="C1247" s="6" t="s">
        <v>552</v>
      </c>
      <c r="D1247" s="6" t="str">
        <f>"王芳姬"</f>
        <v>王芳姬</v>
      </c>
      <c r="E1247" s="6" t="str">
        <f t="shared" si="36"/>
        <v>女</v>
      </c>
    </row>
    <row r="1248" spans="1:5" ht="30" customHeight="1">
      <c r="A1248" s="6">
        <v>1246</v>
      </c>
      <c r="B1248" s="6" t="str">
        <f>"299420210526103058107282"</f>
        <v>299420210526103058107282</v>
      </c>
      <c r="C1248" s="6" t="s">
        <v>552</v>
      </c>
      <c r="D1248" s="6" t="str">
        <f>"符蕾"</f>
        <v>符蕾</v>
      </c>
      <c r="E1248" s="6" t="str">
        <f t="shared" si="36"/>
        <v>女</v>
      </c>
    </row>
    <row r="1249" spans="1:5" ht="30" customHeight="1">
      <c r="A1249" s="6">
        <v>1247</v>
      </c>
      <c r="B1249" s="6" t="str">
        <f>"299420210526105307107331"</f>
        <v>299420210526105307107331</v>
      </c>
      <c r="C1249" s="6" t="s">
        <v>552</v>
      </c>
      <c r="D1249" s="6" t="str">
        <f>"刘佳"</f>
        <v>刘佳</v>
      </c>
      <c r="E1249" s="6" t="str">
        <f t="shared" si="36"/>
        <v>女</v>
      </c>
    </row>
    <row r="1250" spans="1:5" ht="30" customHeight="1">
      <c r="A1250" s="6">
        <v>1248</v>
      </c>
      <c r="B1250" s="6" t="str">
        <f>"299420210526105752107344"</f>
        <v>299420210526105752107344</v>
      </c>
      <c r="C1250" s="6" t="s">
        <v>552</v>
      </c>
      <c r="D1250" s="6" t="str">
        <f>"王敏"</f>
        <v>王敏</v>
      </c>
      <c r="E1250" s="6" t="str">
        <f t="shared" si="36"/>
        <v>女</v>
      </c>
    </row>
    <row r="1251" spans="1:5" ht="30" customHeight="1">
      <c r="A1251" s="6">
        <v>1249</v>
      </c>
      <c r="B1251" s="6" t="str">
        <f>"299420210526110509107364"</f>
        <v>299420210526110509107364</v>
      </c>
      <c r="C1251" s="6" t="s">
        <v>552</v>
      </c>
      <c r="D1251" s="6" t="str">
        <f>"庞琳 "</f>
        <v>庞琳 </v>
      </c>
      <c r="E1251" s="6" t="str">
        <f t="shared" si="36"/>
        <v>女</v>
      </c>
    </row>
    <row r="1252" spans="1:5" ht="30" customHeight="1">
      <c r="A1252" s="6">
        <v>1250</v>
      </c>
      <c r="B1252" s="6" t="str">
        <f>"299420210526110755107370"</f>
        <v>299420210526110755107370</v>
      </c>
      <c r="C1252" s="6" t="s">
        <v>552</v>
      </c>
      <c r="D1252" s="6" t="str">
        <f>"庄艳美"</f>
        <v>庄艳美</v>
      </c>
      <c r="E1252" s="6" t="str">
        <f t="shared" si="36"/>
        <v>女</v>
      </c>
    </row>
    <row r="1253" spans="1:5" ht="30" customHeight="1">
      <c r="A1253" s="6">
        <v>1251</v>
      </c>
      <c r="B1253" s="6" t="str">
        <f>"299420210526110820107372"</f>
        <v>299420210526110820107372</v>
      </c>
      <c r="C1253" s="6" t="s">
        <v>552</v>
      </c>
      <c r="D1253" s="6" t="str">
        <f>"申怡雯"</f>
        <v>申怡雯</v>
      </c>
      <c r="E1253" s="6" t="str">
        <f t="shared" si="36"/>
        <v>女</v>
      </c>
    </row>
    <row r="1254" spans="1:5" ht="30" customHeight="1">
      <c r="A1254" s="6">
        <v>1252</v>
      </c>
      <c r="B1254" s="6" t="str">
        <f>"299420210526111720107388"</f>
        <v>299420210526111720107388</v>
      </c>
      <c r="C1254" s="6" t="s">
        <v>552</v>
      </c>
      <c r="D1254" s="6" t="str">
        <f>"文梅燕"</f>
        <v>文梅燕</v>
      </c>
      <c r="E1254" s="6" t="str">
        <f t="shared" si="36"/>
        <v>女</v>
      </c>
    </row>
    <row r="1255" spans="1:5" ht="30" customHeight="1">
      <c r="A1255" s="6">
        <v>1253</v>
      </c>
      <c r="B1255" s="6" t="str">
        <f>"299420210526111749107389"</f>
        <v>299420210526111749107389</v>
      </c>
      <c r="C1255" s="6" t="s">
        <v>552</v>
      </c>
      <c r="D1255" s="6" t="str">
        <f>"符燕珍"</f>
        <v>符燕珍</v>
      </c>
      <c r="E1255" s="6" t="str">
        <f t="shared" si="36"/>
        <v>女</v>
      </c>
    </row>
    <row r="1256" spans="1:5" ht="30" customHeight="1">
      <c r="A1256" s="6">
        <v>1254</v>
      </c>
      <c r="B1256" s="6" t="str">
        <f>"299420210526113135107415"</f>
        <v>299420210526113135107415</v>
      </c>
      <c r="C1256" s="6" t="s">
        <v>552</v>
      </c>
      <c r="D1256" s="6" t="str">
        <f>"吴秋萍"</f>
        <v>吴秋萍</v>
      </c>
      <c r="E1256" s="6" t="str">
        <f t="shared" si="36"/>
        <v>女</v>
      </c>
    </row>
    <row r="1257" spans="1:5" ht="30" customHeight="1">
      <c r="A1257" s="6">
        <v>1255</v>
      </c>
      <c r="B1257" s="6" t="str">
        <f>"299420210526113221107417"</f>
        <v>299420210526113221107417</v>
      </c>
      <c r="C1257" s="6" t="s">
        <v>552</v>
      </c>
      <c r="D1257" s="6" t="str">
        <f>"黄天慧"</f>
        <v>黄天慧</v>
      </c>
      <c r="E1257" s="6" t="str">
        <f t="shared" si="36"/>
        <v>女</v>
      </c>
    </row>
    <row r="1258" spans="1:5" ht="30" customHeight="1">
      <c r="A1258" s="6">
        <v>1256</v>
      </c>
      <c r="B1258" s="6" t="str">
        <f>"299420210526113240107418"</f>
        <v>299420210526113240107418</v>
      </c>
      <c r="C1258" s="6" t="s">
        <v>552</v>
      </c>
      <c r="D1258" s="6" t="str">
        <f>"陈莉丽"</f>
        <v>陈莉丽</v>
      </c>
      <c r="E1258" s="6" t="str">
        <f t="shared" si="36"/>
        <v>女</v>
      </c>
    </row>
    <row r="1259" spans="1:5" ht="30" customHeight="1">
      <c r="A1259" s="6">
        <v>1257</v>
      </c>
      <c r="B1259" s="6" t="str">
        <f>"299420210526113422107423"</f>
        <v>299420210526113422107423</v>
      </c>
      <c r="C1259" s="6" t="s">
        <v>552</v>
      </c>
      <c r="D1259" s="6" t="str">
        <f>"莫海元"</f>
        <v>莫海元</v>
      </c>
      <c r="E1259" s="6" t="str">
        <f t="shared" si="36"/>
        <v>女</v>
      </c>
    </row>
    <row r="1260" spans="1:5" ht="30" customHeight="1">
      <c r="A1260" s="6">
        <v>1258</v>
      </c>
      <c r="B1260" s="6" t="str">
        <f>"299420210526113636107431"</f>
        <v>299420210526113636107431</v>
      </c>
      <c r="C1260" s="6" t="s">
        <v>552</v>
      </c>
      <c r="D1260" s="6" t="str">
        <f>"符式慧"</f>
        <v>符式慧</v>
      </c>
      <c r="E1260" s="6" t="str">
        <f t="shared" si="36"/>
        <v>女</v>
      </c>
    </row>
    <row r="1261" spans="1:5" ht="30" customHeight="1">
      <c r="A1261" s="6">
        <v>1259</v>
      </c>
      <c r="B1261" s="6" t="str">
        <f>"299420210526113856107434"</f>
        <v>299420210526113856107434</v>
      </c>
      <c r="C1261" s="6" t="s">
        <v>552</v>
      </c>
      <c r="D1261" s="6" t="str">
        <f>"周春瑜"</f>
        <v>周春瑜</v>
      </c>
      <c r="E1261" s="6" t="str">
        <f t="shared" si="36"/>
        <v>女</v>
      </c>
    </row>
    <row r="1262" spans="1:5" ht="30" customHeight="1">
      <c r="A1262" s="6">
        <v>1260</v>
      </c>
      <c r="B1262" s="6" t="str">
        <f>"299420210526122246107507"</f>
        <v>299420210526122246107507</v>
      </c>
      <c r="C1262" s="6" t="s">
        <v>552</v>
      </c>
      <c r="D1262" s="6" t="str">
        <f>"吴巧"</f>
        <v>吴巧</v>
      </c>
      <c r="E1262" s="6" t="str">
        <f t="shared" si="36"/>
        <v>女</v>
      </c>
    </row>
    <row r="1263" spans="1:5" ht="30" customHeight="1">
      <c r="A1263" s="6">
        <v>1261</v>
      </c>
      <c r="B1263" s="6" t="str">
        <f>"299420210526122858107520"</f>
        <v>299420210526122858107520</v>
      </c>
      <c r="C1263" s="6" t="s">
        <v>552</v>
      </c>
      <c r="D1263" s="6" t="str">
        <f>"陈玉雪"</f>
        <v>陈玉雪</v>
      </c>
      <c r="E1263" s="6" t="str">
        <f t="shared" si="36"/>
        <v>女</v>
      </c>
    </row>
    <row r="1264" spans="1:5" ht="30" customHeight="1">
      <c r="A1264" s="6">
        <v>1262</v>
      </c>
      <c r="B1264" s="6" t="str">
        <f>"299420210526123017107524"</f>
        <v>299420210526123017107524</v>
      </c>
      <c r="C1264" s="6" t="s">
        <v>552</v>
      </c>
      <c r="D1264" s="6" t="str">
        <f>"姚丽琴"</f>
        <v>姚丽琴</v>
      </c>
      <c r="E1264" s="6" t="str">
        <f t="shared" si="36"/>
        <v>女</v>
      </c>
    </row>
    <row r="1265" spans="1:5" ht="30" customHeight="1">
      <c r="A1265" s="6">
        <v>1263</v>
      </c>
      <c r="B1265" s="6" t="str">
        <f>"299420210526123514107533"</f>
        <v>299420210526123514107533</v>
      </c>
      <c r="C1265" s="6" t="s">
        <v>552</v>
      </c>
      <c r="D1265" s="6" t="str">
        <f>"陈淑瑜"</f>
        <v>陈淑瑜</v>
      </c>
      <c r="E1265" s="6" t="str">
        <f t="shared" si="36"/>
        <v>女</v>
      </c>
    </row>
    <row r="1266" spans="1:5" ht="30" customHeight="1">
      <c r="A1266" s="6">
        <v>1264</v>
      </c>
      <c r="B1266" s="6" t="str">
        <f>"299420210526124044107547"</f>
        <v>299420210526124044107547</v>
      </c>
      <c r="C1266" s="6" t="s">
        <v>552</v>
      </c>
      <c r="D1266" s="6" t="str">
        <f>"何雨欣"</f>
        <v>何雨欣</v>
      </c>
      <c r="E1266" s="6" t="str">
        <f t="shared" si="36"/>
        <v>女</v>
      </c>
    </row>
    <row r="1267" spans="1:5" ht="30" customHeight="1">
      <c r="A1267" s="6">
        <v>1265</v>
      </c>
      <c r="B1267" s="6" t="str">
        <f>"299420210526124205107553"</f>
        <v>299420210526124205107553</v>
      </c>
      <c r="C1267" s="6" t="s">
        <v>552</v>
      </c>
      <c r="D1267" s="6" t="str">
        <f>"熊雨轩"</f>
        <v>熊雨轩</v>
      </c>
      <c r="E1267" s="6" t="str">
        <f t="shared" si="36"/>
        <v>女</v>
      </c>
    </row>
    <row r="1268" spans="1:5" ht="30" customHeight="1">
      <c r="A1268" s="6">
        <v>1266</v>
      </c>
      <c r="B1268" s="6" t="str">
        <f>"299420210526124359107560"</f>
        <v>299420210526124359107560</v>
      </c>
      <c r="C1268" s="6" t="s">
        <v>552</v>
      </c>
      <c r="D1268" s="6" t="str">
        <f>"韦文娟"</f>
        <v>韦文娟</v>
      </c>
      <c r="E1268" s="6" t="str">
        <f t="shared" si="36"/>
        <v>女</v>
      </c>
    </row>
    <row r="1269" spans="1:5" ht="30" customHeight="1">
      <c r="A1269" s="6">
        <v>1267</v>
      </c>
      <c r="B1269" s="6" t="str">
        <f>"299420210526124559107565"</f>
        <v>299420210526124559107565</v>
      </c>
      <c r="C1269" s="6" t="s">
        <v>552</v>
      </c>
      <c r="D1269" s="6" t="str">
        <f>"钟琼君"</f>
        <v>钟琼君</v>
      </c>
      <c r="E1269" s="6" t="str">
        <f t="shared" si="36"/>
        <v>女</v>
      </c>
    </row>
    <row r="1270" spans="1:5" ht="30" customHeight="1">
      <c r="A1270" s="6">
        <v>1268</v>
      </c>
      <c r="B1270" s="6" t="str">
        <f>"299420210526125132107580"</f>
        <v>299420210526125132107580</v>
      </c>
      <c r="C1270" s="6" t="s">
        <v>552</v>
      </c>
      <c r="D1270" s="6" t="str">
        <f>"何晓娟"</f>
        <v>何晓娟</v>
      </c>
      <c r="E1270" s="6" t="str">
        <f t="shared" si="36"/>
        <v>女</v>
      </c>
    </row>
    <row r="1271" spans="1:5" ht="30" customHeight="1">
      <c r="A1271" s="6">
        <v>1269</v>
      </c>
      <c r="B1271" s="6" t="str">
        <f>"299420210526125305107584"</f>
        <v>299420210526125305107584</v>
      </c>
      <c r="C1271" s="6" t="s">
        <v>552</v>
      </c>
      <c r="D1271" s="6" t="str">
        <f>"郑阿雪"</f>
        <v>郑阿雪</v>
      </c>
      <c r="E1271" s="6" t="str">
        <f t="shared" si="36"/>
        <v>女</v>
      </c>
    </row>
    <row r="1272" spans="1:5" ht="30" customHeight="1">
      <c r="A1272" s="6">
        <v>1270</v>
      </c>
      <c r="B1272" s="6" t="str">
        <f>"299420210526132418107639"</f>
        <v>299420210526132418107639</v>
      </c>
      <c r="C1272" s="6" t="s">
        <v>552</v>
      </c>
      <c r="D1272" s="6" t="str">
        <f>"鲁雅琼"</f>
        <v>鲁雅琼</v>
      </c>
      <c r="E1272" s="6" t="str">
        <f t="shared" si="36"/>
        <v>女</v>
      </c>
    </row>
    <row r="1273" spans="1:5" ht="30" customHeight="1">
      <c r="A1273" s="6">
        <v>1271</v>
      </c>
      <c r="B1273" s="6" t="str">
        <f>"299420210526143105107684"</f>
        <v>299420210526143105107684</v>
      </c>
      <c r="C1273" s="6" t="s">
        <v>552</v>
      </c>
      <c r="D1273" s="6" t="str">
        <f>"钟玉华"</f>
        <v>钟玉华</v>
      </c>
      <c r="E1273" s="6" t="str">
        <f t="shared" si="36"/>
        <v>女</v>
      </c>
    </row>
    <row r="1274" spans="1:5" ht="30" customHeight="1">
      <c r="A1274" s="6">
        <v>1272</v>
      </c>
      <c r="B1274" s="6" t="str">
        <f>"299420210526144216107694"</f>
        <v>299420210526144216107694</v>
      </c>
      <c r="C1274" s="6" t="s">
        <v>552</v>
      </c>
      <c r="D1274" s="6" t="str">
        <f>"张钟文"</f>
        <v>张钟文</v>
      </c>
      <c r="E1274" s="6" t="str">
        <f t="shared" si="36"/>
        <v>女</v>
      </c>
    </row>
    <row r="1275" spans="1:5" ht="30" customHeight="1">
      <c r="A1275" s="6">
        <v>1273</v>
      </c>
      <c r="B1275" s="6" t="str">
        <f>"299420210526144404107697"</f>
        <v>299420210526144404107697</v>
      </c>
      <c r="C1275" s="6" t="s">
        <v>552</v>
      </c>
      <c r="D1275" s="6" t="str">
        <f>"谢燕"</f>
        <v>谢燕</v>
      </c>
      <c r="E1275" s="6" t="str">
        <f t="shared" si="36"/>
        <v>女</v>
      </c>
    </row>
    <row r="1276" spans="1:5" ht="30" customHeight="1">
      <c r="A1276" s="6">
        <v>1274</v>
      </c>
      <c r="B1276" s="6" t="str">
        <f>"299420210526144626107702"</f>
        <v>299420210526144626107702</v>
      </c>
      <c r="C1276" s="6" t="s">
        <v>552</v>
      </c>
      <c r="D1276" s="6" t="str">
        <f>"王芷晴"</f>
        <v>王芷晴</v>
      </c>
      <c r="E1276" s="6" t="str">
        <f t="shared" si="36"/>
        <v>女</v>
      </c>
    </row>
    <row r="1277" spans="1:5" ht="30" customHeight="1">
      <c r="A1277" s="6">
        <v>1275</v>
      </c>
      <c r="B1277" s="6" t="str">
        <f>"299420210526144732107704"</f>
        <v>299420210526144732107704</v>
      </c>
      <c r="C1277" s="6" t="s">
        <v>552</v>
      </c>
      <c r="D1277" s="6" t="str">
        <f>"吴淑强"</f>
        <v>吴淑强</v>
      </c>
      <c r="E1277" s="6" t="str">
        <f>"男"</f>
        <v>男</v>
      </c>
    </row>
    <row r="1278" spans="1:5" ht="30" customHeight="1">
      <c r="A1278" s="6">
        <v>1276</v>
      </c>
      <c r="B1278" s="6" t="str">
        <f>"299420210526145204107714"</f>
        <v>299420210526145204107714</v>
      </c>
      <c r="C1278" s="6" t="s">
        <v>552</v>
      </c>
      <c r="D1278" s="6" t="str">
        <f>"文莉"</f>
        <v>文莉</v>
      </c>
      <c r="E1278" s="6" t="str">
        <f aca="true" t="shared" si="37" ref="E1278:E1334">"女"</f>
        <v>女</v>
      </c>
    </row>
    <row r="1279" spans="1:5" ht="30" customHeight="1">
      <c r="A1279" s="6">
        <v>1277</v>
      </c>
      <c r="B1279" s="6" t="str">
        <f>"299420210526145743107725"</f>
        <v>299420210526145743107725</v>
      </c>
      <c r="C1279" s="6" t="s">
        <v>552</v>
      </c>
      <c r="D1279" s="6" t="str">
        <f>"程琳"</f>
        <v>程琳</v>
      </c>
      <c r="E1279" s="6" t="str">
        <f t="shared" si="37"/>
        <v>女</v>
      </c>
    </row>
    <row r="1280" spans="1:5" ht="30" customHeight="1">
      <c r="A1280" s="6">
        <v>1278</v>
      </c>
      <c r="B1280" s="6" t="str">
        <f>"299420210526150407107736"</f>
        <v>299420210526150407107736</v>
      </c>
      <c r="C1280" s="6" t="s">
        <v>552</v>
      </c>
      <c r="D1280" s="6" t="str">
        <f>"陈东琳"</f>
        <v>陈东琳</v>
      </c>
      <c r="E1280" s="6" t="str">
        <f t="shared" si="37"/>
        <v>女</v>
      </c>
    </row>
    <row r="1281" spans="1:5" ht="30" customHeight="1">
      <c r="A1281" s="6">
        <v>1279</v>
      </c>
      <c r="B1281" s="6" t="str">
        <f>"299420210526150512107737"</f>
        <v>299420210526150512107737</v>
      </c>
      <c r="C1281" s="6" t="s">
        <v>552</v>
      </c>
      <c r="D1281" s="6" t="str">
        <f>"罗静仪"</f>
        <v>罗静仪</v>
      </c>
      <c r="E1281" s="6" t="str">
        <f t="shared" si="37"/>
        <v>女</v>
      </c>
    </row>
    <row r="1282" spans="1:5" ht="30" customHeight="1">
      <c r="A1282" s="6">
        <v>1280</v>
      </c>
      <c r="B1282" s="6" t="str">
        <f>"299420210526151011107752"</f>
        <v>299420210526151011107752</v>
      </c>
      <c r="C1282" s="6" t="s">
        <v>552</v>
      </c>
      <c r="D1282" s="6" t="str">
        <f>"王琼慧"</f>
        <v>王琼慧</v>
      </c>
      <c r="E1282" s="6" t="str">
        <f t="shared" si="37"/>
        <v>女</v>
      </c>
    </row>
    <row r="1283" spans="1:5" ht="30" customHeight="1">
      <c r="A1283" s="6">
        <v>1281</v>
      </c>
      <c r="B1283" s="6" t="str">
        <f>"299420210526151554107765"</f>
        <v>299420210526151554107765</v>
      </c>
      <c r="C1283" s="6" t="s">
        <v>552</v>
      </c>
      <c r="D1283" s="6" t="str">
        <f>"李鹏霞"</f>
        <v>李鹏霞</v>
      </c>
      <c r="E1283" s="6" t="str">
        <f t="shared" si="37"/>
        <v>女</v>
      </c>
    </row>
    <row r="1284" spans="1:5" ht="30" customHeight="1">
      <c r="A1284" s="6">
        <v>1282</v>
      </c>
      <c r="B1284" s="6" t="str">
        <f>"299420210526152425107779"</f>
        <v>299420210526152425107779</v>
      </c>
      <c r="C1284" s="6" t="s">
        <v>552</v>
      </c>
      <c r="D1284" s="6" t="str">
        <f>"刘芳丽"</f>
        <v>刘芳丽</v>
      </c>
      <c r="E1284" s="6" t="str">
        <f t="shared" si="37"/>
        <v>女</v>
      </c>
    </row>
    <row r="1285" spans="1:5" ht="30" customHeight="1">
      <c r="A1285" s="6">
        <v>1283</v>
      </c>
      <c r="B1285" s="6" t="str">
        <f>"299420210526152833107782"</f>
        <v>299420210526152833107782</v>
      </c>
      <c r="C1285" s="6" t="s">
        <v>552</v>
      </c>
      <c r="D1285" s="6" t="str">
        <f>"赵敏敏"</f>
        <v>赵敏敏</v>
      </c>
      <c r="E1285" s="6" t="str">
        <f t="shared" si="37"/>
        <v>女</v>
      </c>
    </row>
    <row r="1286" spans="1:5" ht="30" customHeight="1">
      <c r="A1286" s="6">
        <v>1284</v>
      </c>
      <c r="B1286" s="6" t="str">
        <f>"299420210526153015107784"</f>
        <v>299420210526153015107784</v>
      </c>
      <c r="C1286" s="6" t="s">
        <v>552</v>
      </c>
      <c r="D1286" s="6" t="str">
        <f>"潘玉凤"</f>
        <v>潘玉凤</v>
      </c>
      <c r="E1286" s="6" t="str">
        <f t="shared" si="37"/>
        <v>女</v>
      </c>
    </row>
    <row r="1287" spans="1:5" ht="30" customHeight="1">
      <c r="A1287" s="6">
        <v>1285</v>
      </c>
      <c r="B1287" s="6" t="str">
        <f>"299420210526153118107785"</f>
        <v>299420210526153118107785</v>
      </c>
      <c r="C1287" s="6" t="s">
        <v>552</v>
      </c>
      <c r="D1287" s="6" t="str">
        <f>"张燕"</f>
        <v>张燕</v>
      </c>
      <c r="E1287" s="6" t="str">
        <f t="shared" si="37"/>
        <v>女</v>
      </c>
    </row>
    <row r="1288" spans="1:5" ht="30" customHeight="1">
      <c r="A1288" s="6">
        <v>1286</v>
      </c>
      <c r="B1288" s="6" t="str">
        <f>"299420210526153211107786"</f>
        <v>299420210526153211107786</v>
      </c>
      <c r="C1288" s="6" t="s">
        <v>552</v>
      </c>
      <c r="D1288" s="6" t="str">
        <f>"王璐瑶"</f>
        <v>王璐瑶</v>
      </c>
      <c r="E1288" s="6" t="str">
        <f t="shared" si="37"/>
        <v>女</v>
      </c>
    </row>
    <row r="1289" spans="1:5" ht="30" customHeight="1">
      <c r="A1289" s="6">
        <v>1287</v>
      </c>
      <c r="B1289" s="6" t="str">
        <f>"299420210526153747107800"</f>
        <v>299420210526153747107800</v>
      </c>
      <c r="C1289" s="6" t="s">
        <v>552</v>
      </c>
      <c r="D1289" s="6" t="str">
        <f>"林丽洁"</f>
        <v>林丽洁</v>
      </c>
      <c r="E1289" s="6" t="str">
        <f t="shared" si="37"/>
        <v>女</v>
      </c>
    </row>
    <row r="1290" spans="1:5" ht="30" customHeight="1">
      <c r="A1290" s="6">
        <v>1288</v>
      </c>
      <c r="B1290" s="6" t="str">
        <f>"299420210526154801107819"</f>
        <v>299420210526154801107819</v>
      </c>
      <c r="C1290" s="6" t="s">
        <v>552</v>
      </c>
      <c r="D1290" s="6" t="str">
        <f>"李秀花"</f>
        <v>李秀花</v>
      </c>
      <c r="E1290" s="6" t="str">
        <f t="shared" si="37"/>
        <v>女</v>
      </c>
    </row>
    <row r="1291" spans="1:5" ht="30" customHeight="1">
      <c r="A1291" s="6">
        <v>1289</v>
      </c>
      <c r="B1291" s="6" t="str">
        <f>"299420210526154830107822"</f>
        <v>299420210526154830107822</v>
      </c>
      <c r="C1291" s="6" t="s">
        <v>552</v>
      </c>
      <c r="D1291" s="6" t="str">
        <f>"赵子欣"</f>
        <v>赵子欣</v>
      </c>
      <c r="E1291" s="6" t="str">
        <f t="shared" si="37"/>
        <v>女</v>
      </c>
    </row>
    <row r="1292" spans="1:5" ht="30" customHeight="1">
      <c r="A1292" s="6">
        <v>1290</v>
      </c>
      <c r="B1292" s="6" t="str">
        <f>"299420210526155036107830"</f>
        <v>299420210526155036107830</v>
      </c>
      <c r="C1292" s="6" t="s">
        <v>552</v>
      </c>
      <c r="D1292" s="6" t="str">
        <f>"蒙颖盈"</f>
        <v>蒙颖盈</v>
      </c>
      <c r="E1292" s="6" t="str">
        <f t="shared" si="37"/>
        <v>女</v>
      </c>
    </row>
    <row r="1293" spans="1:5" ht="30" customHeight="1">
      <c r="A1293" s="6">
        <v>1291</v>
      </c>
      <c r="B1293" s="6" t="str">
        <f>"299420210526155122107831"</f>
        <v>299420210526155122107831</v>
      </c>
      <c r="C1293" s="6" t="s">
        <v>552</v>
      </c>
      <c r="D1293" s="6" t="str">
        <f>"黄嘉琪"</f>
        <v>黄嘉琪</v>
      </c>
      <c r="E1293" s="6" t="str">
        <f t="shared" si="37"/>
        <v>女</v>
      </c>
    </row>
    <row r="1294" spans="1:5" ht="30" customHeight="1">
      <c r="A1294" s="6">
        <v>1292</v>
      </c>
      <c r="B1294" s="6" t="str">
        <f>"299420210526155128107832"</f>
        <v>299420210526155128107832</v>
      </c>
      <c r="C1294" s="6" t="s">
        <v>552</v>
      </c>
      <c r="D1294" s="6" t="str">
        <f>"李佳滢"</f>
        <v>李佳滢</v>
      </c>
      <c r="E1294" s="6" t="str">
        <f t="shared" si="37"/>
        <v>女</v>
      </c>
    </row>
    <row r="1295" spans="1:5" ht="30" customHeight="1">
      <c r="A1295" s="6">
        <v>1293</v>
      </c>
      <c r="B1295" s="6" t="str">
        <f>"299420210526155240107834"</f>
        <v>299420210526155240107834</v>
      </c>
      <c r="C1295" s="6" t="s">
        <v>552</v>
      </c>
      <c r="D1295" s="6" t="str">
        <f>"郑羚"</f>
        <v>郑羚</v>
      </c>
      <c r="E1295" s="6" t="str">
        <f t="shared" si="37"/>
        <v>女</v>
      </c>
    </row>
    <row r="1296" spans="1:5" ht="30" customHeight="1">
      <c r="A1296" s="6">
        <v>1294</v>
      </c>
      <c r="B1296" s="6" t="str">
        <f>"299420210526155342107837"</f>
        <v>299420210526155342107837</v>
      </c>
      <c r="C1296" s="6" t="s">
        <v>552</v>
      </c>
      <c r="D1296" s="6" t="str">
        <f>"陈小玲"</f>
        <v>陈小玲</v>
      </c>
      <c r="E1296" s="6" t="str">
        <f t="shared" si="37"/>
        <v>女</v>
      </c>
    </row>
    <row r="1297" spans="1:5" ht="30" customHeight="1">
      <c r="A1297" s="6">
        <v>1295</v>
      </c>
      <c r="B1297" s="6" t="str">
        <f>"299420210526155731107847"</f>
        <v>299420210526155731107847</v>
      </c>
      <c r="C1297" s="6" t="s">
        <v>552</v>
      </c>
      <c r="D1297" s="6" t="str">
        <f>"崔晶"</f>
        <v>崔晶</v>
      </c>
      <c r="E1297" s="6" t="str">
        <f t="shared" si="37"/>
        <v>女</v>
      </c>
    </row>
    <row r="1298" spans="1:5" ht="30" customHeight="1">
      <c r="A1298" s="6">
        <v>1296</v>
      </c>
      <c r="B1298" s="6" t="str">
        <f>"299420210526160033107857"</f>
        <v>299420210526160033107857</v>
      </c>
      <c r="C1298" s="6" t="s">
        <v>552</v>
      </c>
      <c r="D1298" s="6" t="str">
        <f>"吴少媛"</f>
        <v>吴少媛</v>
      </c>
      <c r="E1298" s="6" t="str">
        <f t="shared" si="37"/>
        <v>女</v>
      </c>
    </row>
    <row r="1299" spans="1:5" ht="30" customHeight="1">
      <c r="A1299" s="6">
        <v>1297</v>
      </c>
      <c r="B1299" s="6" t="str">
        <f>"299420210526160317107862"</f>
        <v>299420210526160317107862</v>
      </c>
      <c r="C1299" s="6" t="s">
        <v>552</v>
      </c>
      <c r="D1299" s="6" t="str">
        <f>"钟玟君"</f>
        <v>钟玟君</v>
      </c>
      <c r="E1299" s="6" t="str">
        <f t="shared" si="37"/>
        <v>女</v>
      </c>
    </row>
    <row r="1300" spans="1:5" ht="30" customHeight="1">
      <c r="A1300" s="6">
        <v>1298</v>
      </c>
      <c r="B1300" s="6" t="str">
        <f>"299420210526160512107866"</f>
        <v>299420210526160512107866</v>
      </c>
      <c r="C1300" s="6" t="s">
        <v>552</v>
      </c>
      <c r="D1300" s="6" t="str">
        <f>"杜云婷"</f>
        <v>杜云婷</v>
      </c>
      <c r="E1300" s="6" t="str">
        <f t="shared" si="37"/>
        <v>女</v>
      </c>
    </row>
    <row r="1301" spans="1:5" ht="30" customHeight="1">
      <c r="A1301" s="6">
        <v>1299</v>
      </c>
      <c r="B1301" s="6" t="str">
        <f>"299420210526160539107868"</f>
        <v>299420210526160539107868</v>
      </c>
      <c r="C1301" s="6" t="s">
        <v>552</v>
      </c>
      <c r="D1301" s="6" t="str">
        <f>"张蕙"</f>
        <v>张蕙</v>
      </c>
      <c r="E1301" s="6" t="str">
        <f t="shared" si="37"/>
        <v>女</v>
      </c>
    </row>
    <row r="1302" spans="1:5" ht="30" customHeight="1">
      <c r="A1302" s="6">
        <v>1300</v>
      </c>
      <c r="B1302" s="6" t="str">
        <f>"299420210526161715107895"</f>
        <v>299420210526161715107895</v>
      </c>
      <c r="C1302" s="6" t="s">
        <v>552</v>
      </c>
      <c r="D1302" s="6" t="str">
        <f>"林花"</f>
        <v>林花</v>
      </c>
      <c r="E1302" s="6" t="str">
        <f t="shared" si="37"/>
        <v>女</v>
      </c>
    </row>
    <row r="1303" spans="1:5" ht="30" customHeight="1">
      <c r="A1303" s="6">
        <v>1301</v>
      </c>
      <c r="B1303" s="6" t="str">
        <f>"299420210526162017107900"</f>
        <v>299420210526162017107900</v>
      </c>
      <c r="C1303" s="6" t="s">
        <v>552</v>
      </c>
      <c r="D1303" s="6" t="str">
        <f>"王花"</f>
        <v>王花</v>
      </c>
      <c r="E1303" s="6" t="str">
        <f t="shared" si="37"/>
        <v>女</v>
      </c>
    </row>
    <row r="1304" spans="1:5" ht="30" customHeight="1">
      <c r="A1304" s="6">
        <v>1302</v>
      </c>
      <c r="B1304" s="6" t="str">
        <f>"299420210526162243107904"</f>
        <v>299420210526162243107904</v>
      </c>
      <c r="C1304" s="6" t="s">
        <v>552</v>
      </c>
      <c r="D1304" s="6" t="str">
        <f>"陈妹"</f>
        <v>陈妹</v>
      </c>
      <c r="E1304" s="6" t="str">
        <f t="shared" si="37"/>
        <v>女</v>
      </c>
    </row>
    <row r="1305" spans="1:5" ht="30" customHeight="1">
      <c r="A1305" s="6">
        <v>1303</v>
      </c>
      <c r="B1305" s="6" t="str">
        <f>"299420210526162957107917"</f>
        <v>299420210526162957107917</v>
      </c>
      <c r="C1305" s="6" t="s">
        <v>552</v>
      </c>
      <c r="D1305" s="6" t="str">
        <f>"文丽霞"</f>
        <v>文丽霞</v>
      </c>
      <c r="E1305" s="6" t="str">
        <f t="shared" si="37"/>
        <v>女</v>
      </c>
    </row>
    <row r="1306" spans="1:5" ht="30" customHeight="1">
      <c r="A1306" s="6">
        <v>1304</v>
      </c>
      <c r="B1306" s="6" t="str">
        <f>"299420210526163247107919"</f>
        <v>299420210526163247107919</v>
      </c>
      <c r="C1306" s="6" t="s">
        <v>552</v>
      </c>
      <c r="D1306" s="6" t="str">
        <f>"程婕"</f>
        <v>程婕</v>
      </c>
      <c r="E1306" s="6" t="str">
        <f t="shared" si="37"/>
        <v>女</v>
      </c>
    </row>
    <row r="1307" spans="1:5" ht="30" customHeight="1">
      <c r="A1307" s="6">
        <v>1305</v>
      </c>
      <c r="B1307" s="6" t="str">
        <f>"299420210526163528107924"</f>
        <v>299420210526163528107924</v>
      </c>
      <c r="C1307" s="6" t="s">
        <v>552</v>
      </c>
      <c r="D1307" s="6" t="str">
        <f>"沈俊宏"</f>
        <v>沈俊宏</v>
      </c>
      <c r="E1307" s="6" t="str">
        <f t="shared" si="37"/>
        <v>女</v>
      </c>
    </row>
    <row r="1308" spans="1:5" ht="30" customHeight="1">
      <c r="A1308" s="6">
        <v>1306</v>
      </c>
      <c r="B1308" s="6" t="str">
        <f>"299420210526163829107928"</f>
        <v>299420210526163829107928</v>
      </c>
      <c r="C1308" s="6" t="s">
        <v>552</v>
      </c>
      <c r="D1308" s="6" t="str">
        <f>"吴艺洁"</f>
        <v>吴艺洁</v>
      </c>
      <c r="E1308" s="6" t="str">
        <f t="shared" si="37"/>
        <v>女</v>
      </c>
    </row>
    <row r="1309" spans="1:5" ht="30" customHeight="1">
      <c r="A1309" s="6">
        <v>1307</v>
      </c>
      <c r="B1309" s="6" t="str">
        <f>"299420210526164003107935"</f>
        <v>299420210526164003107935</v>
      </c>
      <c r="C1309" s="6" t="s">
        <v>552</v>
      </c>
      <c r="D1309" s="6" t="str">
        <f>"周芳芳"</f>
        <v>周芳芳</v>
      </c>
      <c r="E1309" s="6" t="str">
        <f t="shared" si="37"/>
        <v>女</v>
      </c>
    </row>
    <row r="1310" spans="1:5" ht="30" customHeight="1">
      <c r="A1310" s="6">
        <v>1308</v>
      </c>
      <c r="B1310" s="6" t="str">
        <f>"299420210526164229107938"</f>
        <v>299420210526164229107938</v>
      </c>
      <c r="C1310" s="6" t="s">
        <v>552</v>
      </c>
      <c r="D1310" s="6" t="str">
        <f>"林玟君"</f>
        <v>林玟君</v>
      </c>
      <c r="E1310" s="6" t="str">
        <f t="shared" si="37"/>
        <v>女</v>
      </c>
    </row>
    <row r="1311" spans="1:5" ht="30" customHeight="1">
      <c r="A1311" s="6">
        <v>1309</v>
      </c>
      <c r="B1311" s="6" t="str">
        <f>"299420210526164726107946"</f>
        <v>299420210526164726107946</v>
      </c>
      <c r="C1311" s="6" t="s">
        <v>552</v>
      </c>
      <c r="D1311" s="6" t="str">
        <f>"曾恋鸿"</f>
        <v>曾恋鸿</v>
      </c>
      <c r="E1311" s="6" t="str">
        <f t="shared" si="37"/>
        <v>女</v>
      </c>
    </row>
    <row r="1312" spans="1:5" ht="30" customHeight="1">
      <c r="A1312" s="6">
        <v>1310</v>
      </c>
      <c r="B1312" s="6" t="str">
        <f>"299420210526165348107962"</f>
        <v>299420210526165348107962</v>
      </c>
      <c r="C1312" s="6" t="s">
        <v>552</v>
      </c>
      <c r="D1312" s="6" t="str">
        <f>"符雪圆"</f>
        <v>符雪圆</v>
      </c>
      <c r="E1312" s="6" t="str">
        <f t="shared" si="37"/>
        <v>女</v>
      </c>
    </row>
    <row r="1313" spans="1:5" ht="30" customHeight="1">
      <c r="A1313" s="6">
        <v>1311</v>
      </c>
      <c r="B1313" s="6" t="str">
        <f>"299420210526165558107967"</f>
        <v>299420210526165558107967</v>
      </c>
      <c r="C1313" s="6" t="s">
        <v>552</v>
      </c>
      <c r="D1313" s="6" t="str">
        <f>"宋珍"</f>
        <v>宋珍</v>
      </c>
      <c r="E1313" s="6" t="str">
        <f t="shared" si="37"/>
        <v>女</v>
      </c>
    </row>
    <row r="1314" spans="1:5" ht="30" customHeight="1">
      <c r="A1314" s="6">
        <v>1312</v>
      </c>
      <c r="B1314" s="6" t="str">
        <f>"299420210526170120107980"</f>
        <v>299420210526170120107980</v>
      </c>
      <c r="C1314" s="6" t="s">
        <v>552</v>
      </c>
      <c r="D1314" s="6" t="str">
        <f>"古庭玮"</f>
        <v>古庭玮</v>
      </c>
      <c r="E1314" s="6" t="str">
        <f t="shared" si="37"/>
        <v>女</v>
      </c>
    </row>
    <row r="1315" spans="1:5" ht="30" customHeight="1">
      <c r="A1315" s="6">
        <v>1313</v>
      </c>
      <c r="B1315" s="6" t="str">
        <f>"299420210526170302107981"</f>
        <v>299420210526170302107981</v>
      </c>
      <c r="C1315" s="6" t="s">
        <v>552</v>
      </c>
      <c r="D1315" s="6" t="str">
        <f>"吉姗姗"</f>
        <v>吉姗姗</v>
      </c>
      <c r="E1315" s="6" t="str">
        <f t="shared" si="37"/>
        <v>女</v>
      </c>
    </row>
    <row r="1316" spans="1:5" ht="30" customHeight="1">
      <c r="A1316" s="6">
        <v>1314</v>
      </c>
      <c r="B1316" s="6" t="str">
        <f>"299420210526170335107983"</f>
        <v>299420210526170335107983</v>
      </c>
      <c r="C1316" s="6" t="s">
        <v>552</v>
      </c>
      <c r="D1316" s="6" t="str">
        <f>"蔡爱仙"</f>
        <v>蔡爱仙</v>
      </c>
      <c r="E1316" s="6" t="str">
        <f t="shared" si="37"/>
        <v>女</v>
      </c>
    </row>
    <row r="1317" spans="1:5" ht="30" customHeight="1">
      <c r="A1317" s="6">
        <v>1315</v>
      </c>
      <c r="B1317" s="6" t="str">
        <f>"299420210526170720107987"</f>
        <v>299420210526170720107987</v>
      </c>
      <c r="C1317" s="6" t="s">
        <v>552</v>
      </c>
      <c r="D1317" s="6" t="str">
        <f>"徐怡"</f>
        <v>徐怡</v>
      </c>
      <c r="E1317" s="6" t="str">
        <f t="shared" si="37"/>
        <v>女</v>
      </c>
    </row>
    <row r="1318" spans="1:5" ht="30" customHeight="1">
      <c r="A1318" s="6">
        <v>1316</v>
      </c>
      <c r="B1318" s="6" t="str">
        <f>"299420210526171419108000"</f>
        <v>299420210526171419108000</v>
      </c>
      <c r="C1318" s="6" t="s">
        <v>552</v>
      </c>
      <c r="D1318" s="6" t="str">
        <f>"吴燕转"</f>
        <v>吴燕转</v>
      </c>
      <c r="E1318" s="6" t="str">
        <f t="shared" si="37"/>
        <v>女</v>
      </c>
    </row>
    <row r="1319" spans="1:5" ht="30" customHeight="1">
      <c r="A1319" s="6">
        <v>1317</v>
      </c>
      <c r="B1319" s="6" t="str">
        <f>"299420210526172340108014"</f>
        <v>299420210526172340108014</v>
      </c>
      <c r="C1319" s="6" t="s">
        <v>552</v>
      </c>
      <c r="D1319" s="6" t="str">
        <f>"林珊珊"</f>
        <v>林珊珊</v>
      </c>
      <c r="E1319" s="6" t="str">
        <f t="shared" si="37"/>
        <v>女</v>
      </c>
    </row>
    <row r="1320" spans="1:5" ht="30" customHeight="1">
      <c r="A1320" s="6">
        <v>1318</v>
      </c>
      <c r="B1320" s="6" t="str">
        <f>"299420210526173501108036"</f>
        <v>299420210526173501108036</v>
      </c>
      <c r="C1320" s="6" t="s">
        <v>552</v>
      </c>
      <c r="D1320" s="6" t="str">
        <f>"张熔清"</f>
        <v>张熔清</v>
      </c>
      <c r="E1320" s="6" t="str">
        <f t="shared" si="37"/>
        <v>女</v>
      </c>
    </row>
    <row r="1321" spans="1:5" ht="30" customHeight="1">
      <c r="A1321" s="6">
        <v>1319</v>
      </c>
      <c r="B1321" s="6" t="str">
        <f>"299420210526175348108062"</f>
        <v>299420210526175348108062</v>
      </c>
      <c r="C1321" s="6" t="s">
        <v>552</v>
      </c>
      <c r="D1321" s="6" t="str">
        <f>"严尹祺"</f>
        <v>严尹祺</v>
      </c>
      <c r="E1321" s="6" t="str">
        <f t="shared" si="37"/>
        <v>女</v>
      </c>
    </row>
    <row r="1322" spans="1:5" ht="30" customHeight="1">
      <c r="A1322" s="6">
        <v>1320</v>
      </c>
      <c r="B1322" s="6" t="str">
        <f>"299420210526175634108067"</f>
        <v>299420210526175634108067</v>
      </c>
      <c r="C1322" s="6" t="s">
        <v>552</v>
      </c>
      <c r="D1322" s="6" t="str">
        <f>"黄慧坚"</f>
        <v>黄慧坚</v>
      </c>
      <c r="E1322" s="6" t="str">
        <f t="shared" si="37"/>
        <v>女</v>
      </c>
    </row>
    <row r="1323" spans="1:5" ht="30" customHeight="1">
      <c r="A1323" s="6">
        <v>1321</v>
      </c>
      <c r="B1323" s="6" t="str">
        <f>"299420210526175725108068"</f>
        <v>299420210526175725108068</v>
      </c>
      <c r="C1323" s="6" t="s">
        <v>552</v>
      </c>
      <c r="D1323" s="6" t="str">
        <f>"郑丽灵"</f>
        <v>郑丽灵</v>
      </c>
      <c r="E1323" s="6" t="str">
        <f t="shared" si="37"/>
        <v>女</v>
      </c>
    </row>
    <row r="1324" spans="1:5" ht="30" customHeight="1">
      <c r="A1324" s="6">
        <v>1322</v>
      </c>
      <c r="B1324" s="6" t="str">
        <f>"299420210526180520108081"</f>
        <v>299420210526180520108081</v>
      </c>
      <c r="C1324" s="6" t="s">
        <v>552</v>
      </c>
      <c r="D1324" s="6" t="str">
        <f>"吴华丹"</f>
        <v>吴华丹</v>
      </c>
      <c r="E1324" s="6" t="str">
        <f t="shared" si="37"/>
        <v>女</v>
      </c>
    </row>
    <row r="1325" spans="1:5" ht="30" customHeight="1">
      <c r="A1325" s="6">
        <v>1323</v>
      </c>
      <c r="B1325" s="6" t="str">
        <f>"299420210526180544108083"</f>
        <v>299420210526180544108083</v>
      </c>
      <c r="C1325" s="6" t="s">
        <v>552</v>
      </c>
      <c r="D1325" s="6" t="str">
        <f>"王康蜜"</f>
        <v>王康蜜</v>
      </c>
      <c r="E1325" s="6" t="str">
        <f t="shared" si="37"/>
        <v>女</v>
      </c>
    </row>
    <row r="1326" spans="1:5" ht="30" customHeight="1">
      <c r="A1326" s="6">
        <v>1324</v>
      </c>
      <c r="B1326" s="6" t="str">
        <f>"299420210526180553108085"</f>
        <v>299420210526180553108085</v>
      </c>
      <c r="C1326" s="6" t="s">
        <v>552</v>
      </c>
      <c r="D1326" s="6" t="str">
        <f>"陈小青"</f>
        <v>陈小青</v>
      </c>
      <c r="E1326" s="6" t="str">
        <f t="shared" si="37"/>
        <v>女</v>
      </c>
    </row>
    <row r="1327" spans="1:5" ht="30" customHeight="1">
      <c r="A1327" s="6">
        <v>1325</v>
      </c>
      <c r="B1327" s="6" t="str">
        <f>"299420210526181415108101"</f>
        <v>299420210526181415108101</v>
      </c>
      <c r="C1327" s="6" t="s">
        <v>552</v>
      </c>
      <c r="D1327" s="6" t="str">
        <f>"邱丽"</f>
        <v>邱丽</v>
      </c>
      <c r="E1327" s="6" t="str">
        <f t="shared" si="37"/>
        <v>女</v>
      </c>
    </row>
    <row r="1328" spans="1:5" ht="30" customHeight="1">
      <c r="A1328" s="6">
        <v>1326</v>
      </c>
      <c r="B1328" s="6" t="str">
        <f>"299420210526181536108104"</f>
        <v>299420210526181536108104</v>
      </c>
      <c r="C1328" s="6" t="s">
        <v>552</v>
      </c>
      <c r="D1328" s="6" t="str">
        <f>"罗琪冉"</f>
        <v>罗琪冉</v>
      </c>
      <c r="E1328" s="6" t="str">
        <f t="shared" si="37"/>
        <v>女</v>
      </c>
    </row>
    <row r="1329" spans="1:5" ht="30" customHeight="1">
      <c r="A1329" s="6">
        <v>1327</v>
      </c>
      <c r="B1329" s="6" t="str">
        <f>"299420210526181756108108"</f>
        <v>299420210526181756108108</v>
      </c>
      <c r="C1329" s="6" t="s">
        <v>552</v>
      </c>
      <c r="D1329" s="6" t="str">
        <f>"符春美"</f>
        <v>符春美</v>
      </c>
      <c r="E1329" s="6" t="str">
        <f t="shared" si="37"/>
        <v>女</v>
      </c>
    </row>
    <row r="1330" spans="1:5" ht="30" customHeight="1">
      <c r="A1330" s="6">
        <v>1328</v>
      </c>
      <c r="B1330" s="6" t="str">
        <f>"299420210526181951108111"</f>
        <v>299420210526181951108111</v>
      </c>
      <c r="C1330" s="6" t="s">
        <v>552</v>
      </c>
      <c r="D1330" s="6" t="str">
        <f>"陈佳琳"</f>
        <v>陈佳琳</v>
      </c>
      <c r="E1330" s="6" t="str">
        <f t="shared" si="37"/>
        <v>女</v>
      </c>
    </row>
    <row r="1331" spans="1:5" ht="30" customHeight="1">
      <c r="A1331" s="6">
        <v>1329</v>
      </c>
      <c r="B1331" s="6" t="str">
        <f>"299420210526182045108112"</f>
        <v>299420210526182045108112</v>
      </c>
      <c r="C1331" s="6" t="s">
        <v>552</v>
      </c>
      <c r="D1331" s="6" t="str">
        <f>"彭利平"</f>
        <v>彭利平</v>
      </c>
      <c r="E1331" s="6" t="str">
        <f t="shared" si="37"/>
        <v>女</v>
      </c>
    </row>
    <row r="1332" spans="1:5" ht="30" customHeight="1">
      <c r="A1332" s="6">
        <v>1330</v>
      </c>
      <c r="B1332" s="6" t="str">
        <f>"299420210526182101108113"</f>
        <v>299420210526182101108113</v>
      </c>
      <c r="C1332" s="6" t="s">
        <v>552</v>
      </c>
      <c r="D1332" s="6" t="str">
        <f>"陈海菊"</f>
        <v>陈海菊</v>
      </c>
      <c r="E1332" s="6" t="str">
        <f t="shared" si="37"/>
        <v>女</v>
      </c>
    </row>
    <row r="1333" spans="1:5" ht="30" customHeight="1">
      <c r="A1333" s="6">
        <v>1331</v>
      </c>
      <c r="B1333" s="6" t="str">
        <f>"299420210526182123108114"</f>
        <v>299420210526182123108114</v>
      </c>
      <c r="C1333" s="6" t="s">
        <v>552</v>
      </c>
      <c r="D1333" s="6" t="str">
        <f>"陈熙文"</f>
        <v>陈熙文</v>
      </c>
      <c r="E1333" s="6" t="str">
        <f t="shared" si="37"/>
        <v>女</v>
      </c>
    </row>
    <row r="1334" spans="1:5" ht="30" customHeight="1">
      <c r="A1334" s="6">
        <v>1332</v>
      </c>
      <c r="B1334" s="6" t="str">
        <f>"299420210526182953108130"</f>
        <v>299420210526182953108130</v>
      </c>
      <c r="C1334" s="6" t="s">
        <v>552</v>
      </c>
      <c r="D1334" s="6" t="str">
        <f>"冯春秋"</f>
        <v>冯春秋</v>
      </c>
      <c r="E1334" s="6" t="str">
        <f t="shared" si="37"/>
        <v>女</v>
      </c>
    </row>
    <row r="1335" spans="1:5" ht="30" customHeight="1">
      <c r="A1335" s="6">
        <v>1333</v>
      </c>
      <c r="B1335" s="6" t="str">
        <f>"299420210526183820108144"</f>
        <v>299420210526183820108144</v>
      </c>
      <c r="C1335" s="6" t="s">
        <v>552</v>
      </c>
      <c r="D1335" s="6" t="str">
        <f>"王有东"</f>
        <v>王有东</v>
      </c>
      <c r="E1335" s="6" t="str">
        <f>"男"</f>
        <v>男</v>
      </c>
    </row>
    <row r="1336" spans="1:5" ht="30" customHeight="1">
      <c r="A1336" s="6">
        <v>1334</v>
      </c>
      <c r="B1336" s="6" t="str">
        <f>"299420210526184417108154"</f>
        <v>299420210526184417108154</v>
      </c>
      <c r="C1336" s="6" t="s">
        <v>552</v>
      </c>
      <c r="D1336" s="6" t="str">
        <f>"陈燕雨"</f>
        <v>陈燕雨</v>
      </c>
      <c r="E1336" s="6" t="str">
        <f>"女"</f>
        <v>女</v>
      </c>
    </row>
    <row r="1337" spans="1:5" ht="30" customHeight="1">
      <c r="A1337" s="6">
        <v>1335</v>
      </c>
      <c r="B1337" s="6" t="str">
        <f>"299420210526185514108173"</f>
        <v>299420210526185514108173</v>
      </c>
      <c r="C1337" s="6" t="s">
        <v>552</v>
      </c>
      <c r="D1337" s="6" t="str">
        <f>"陈长昌"</f>
        <v>陈长昌</v>
      </c>
      <c r="E1337" s="6" t="str">
        <f>"男"</f>
        <v>男</v>
      </c>
    </row>
    <row r="1338" spans="1:5" ht="30" customHeight="1">
      <c r="A1338" s="6">
        <v>1336</v>
      </c>
      <c r="B1338" s="6" t="str">
        <f>"299420210526185535108174"</f>
        <v>299420210526185535108174</v>
      </c>
      <c r="C1338" s="6" t="s">
        <v>552</v>
      </c>
      <c r="D1338" s="6" t="str">
        <f>"何海燕"</f>
        <v>何海燕</v>
      </c>
      <c r="E1338" s="6" t="str">
        <f aca="true" t="shared" si="38" ref="E1338:E1401">"女"</f>
        <v>女</v>
      </c>
    </row>
    <row r="1339" spans="1:5" ht="30" customHeight="1">
      <c r="A1339" s="6">
        <v>1337</v>
      </c>
      <c r="B1339" s="6" t="str">
        <f>"299420210526185645108176"</f>
        <v>299420210526185645108176</v>
      </c>
      <c r="C1339" s="6" t="s">
        <v>552</v>
      </c>
      <c r="D1339" s="6" t="str">
        <f>"李月秋"</f>
        <v>李月秋</v>
      </c>
      <c r="E1339" s="6" t="str">
        <f t="shared" si="38"/>
        <v>女</v>
      </c>
    </row>
    <row r="1340" spans="1:5" ht="30" customHeight="1">
      <c r="A1340" s="6">
        <v>1338</v>
      </c>
      <c r="B1340" s="6" t="str">
        <f>"299420210526185857108180"</f>
        <v>299420210526185857108180</v>
      </c>
      <c r="C1340" s="6" t="s">
        <v>552</v>
      </c>
      <c r="D1340" s="6" t="str">
        <f>"许静波"</f>
        <v>许静波</v>
      </c>
      <c r="E1340" s="6" t="str">
        <f t="shared" si="38"/>
        <v>女</v>
      </c>
    </row>
    <row r="1341" spans="1:5" ht="30" customHeight="1">
      <c r="A1341" s="6">
        <v>1339</v>
      </c>
      <c r="B1341" s="6" t="str">
        <f>"299420210526190958108192"</f>
        <v>299420210526190958108192</v>
      </c>
      <c r="C1341" s="6" t="s">
        <v>552</v>
      </c>
      <c r="D1341" s="6" t="str">
        <f>"王春环"</f>
        <v>王春环</v>
      </c>
      <c r="E1341" s="6" t="str">
        <f t="shared" si="38"/>
        <v>女</v>
      </c>
    </row>
    <row r="1342" spans="1:5" ht="30" customHeight="1">
      <c r="A1342" s="6">
        <v>1340</v>
      </c>
      <c r="B1342" s="6" t="str">
        <f>"299420210526191206108196"</f>
        <v>299420210526191206108196</v>
      </c>
      <c r="C1342" s="6" t="s">
        <v>552</v>
      </c>
      <c r="D1342" s="6" t="str">
        <f>"庄淑红"</f>
        <v>庄淑红</v>
      </c>
      <c r="E1342" s="6" t="str">
        <f t="shared" si="38"/>
        <v>女</v>
      </c>
    </row>
    <row r="1343" spans="1:5" ht="30" customHeight="1">
      <c r="A1343" s="6">
        <v>1341</v>
      </c>
      <c r="B1343" s="6" t="str">
        <f>"299420210526191213108197"</f>
        <v>299420210526191213108197</v>
      </c>
      <c r="C1343" s="6" t="s">
        <v>552</v>
      </c>
      <c r="D1343" s="6" t="str">
        <f>"谢亚花"</f>
        <v>谢亚花</v>
      </c>
      <c r="E1343" s="6" t="str">
        <f t="shared" si="38"/>
        <v>女</v>
      </c>
    </row>
    <row r="1344" spans="1:5" ht="30" customHeight="1">
      <c r="A1344" s="6">
        <v>1342</v>
      </c>
      <c r="B1344" s="6" t="str">
        <f>"299420210526191653108206"</f>
        <v>299420210526191653108206</v>
      </c>
      <c r="C1344" s="6" t="s">
        <v>552</v>
      </c>
      <c r="D1344" s="6" t="str">
        <f>"邱玉琪"</f>
        <v>邱玉琪</v>
      </c>
      <c r="E1344" s="6" t="str">
        <f t="shared" si="38"/>
        <v>女</v>
      </c>
    </row>
    <row r="1345" spans="1:5" ht="30" customHeight="1">
      <c r="A1345" s="6">
        <v>1343</v>
      </c>
      <c r="B1345" s="6" t="str">
        <f>"299420210526191727108209"</f>
        <v>299420210526191727108209</v>
      </c>
      <c r="C1345" s="6" t="s">
        <v>552</v>
      </c>
      <c r="D1345" s="6" t="str">
        <f>"林艺"</f>
        <v>林艺</v>
      </c>
      <c r="E1345" s="6" t="str">
        <f t="shared" si="38"/>
        <v>女</v>
      </c>
    </row>
    <row r="1346" spans="1:5" ht="30" customHeight="1">
      <c r="A1346" s="6">
        <v>1344</v>
      </c>
      <c r="B1346" s="6" t="str">
        <f>"299420210526191737108210"</f>
        <v>299420210526191737108210</v>
      </c>
      <c r="C1346" s="6" t="s">
        <v>552</v>
      </c>
      <c r="D1346" s="6" t="str">
        <f>"邓秋霞"</f>
        <v>邓秋霞</v>
      </c>
      <c r="E1346" s="6" t="str">
        <f t="shared" si="38"/>
        <v>女</v>
      </c>
    </row>
    <row r="1347" spans="1:5" ht="30" customHeight="1">
      <c r="A1347" s="6">
        <v>1345</v>
      </c>
      <c r="B1347" s="6" t="str">
        <f>"299420210526192818108221"</f>
        <v>299420210526192818108221</v>
      </c>
      <c r="C1347" s="6" t="s">
        <v>552</v>
      </c>
      <c r="D1347" s="6" t="str">
        <f>"杨成蝶"</f>
        <v>杨成蝶</v>
      </c>
      <c r="E1347" s="6" t="str">
        <f t="shared" si="38"/>
        <v>女</v>
      </c>
    </row>
    <row r="1348" spans="1:5" ht="30" customHeight="1">
      <c r="A1348" s="6">
        <v>1346</v>
      </c>
      <c r="B1348" s="6" t="str">
        <f>"299420210526193145108227"</f>
        <v>299420210526193145108227</v>
      </c>
      <c r="C1348" s="6" t="s">
        <v>552</v>
      </c>
      <c r="D1348" s="6" t="str">
        <f>"何恋"</f>
        <v>何恋</v>
      </c>
      <c r="E1348" s="6" t="str">
        <f t="shared" si="38"/>
        <v>女</v>
      </c>
    </row>
    <row r="1349" spans="1:5" ht="30" customHeight="1">
      <c r="A1349" s="6">
        <v>1347</v>
      </c>
      <c r="B1349" s="6" t="str">
        <f>"299420210526193327108229"</f>
        <v>299420210526193327108229</v>
      </c>
      <c r="C1349" s="6" t="s">
        <v>552</v>
      </c>
      <c r="D1349" s="6" t="str">
        <f>"黄江南"</f>
        <v>黄江南</v>
      </c>
      <c r="E1349" s="6" t="str">
        <f t="shared" si="38"/>
        <v>女</v>
      </c>
    </row>
    <row r="1350" spans="1:5" ht="30" customHeight="1">
      <c r="A1350" s="6">
        <v>1348</v>
      </c>
      <c r="B1350" s="6" t="str">
        <f>"299420210526193443108230"</f>
        <v>299420210526193443108230</v>
      </c>
      <c r="C1350" s="6" t="s">
        <v>552</v>
      </c>
      <c r="D1350" s="6" t="str">
        <f>"林桂梅"</f>
        <v>林桂梅</v>
      </c>
      <c r="E1350" s="6" t="str">
        <f t="shared" si="38"/>
        <v>女</v>
      </c>
    </row>
    <row r="1351" spans="1:5" ht="30" customHeight="1">
      <c r="A1351" s="6">
        <v>1349</v>
      </c>
      <c r="B1351" s="6" t="str">
        <f>"299420210526193456108231"</f>
        <v>299420210526193456108231</v>
      </c>
      <c r="C1351" s="6" t="s">
        <v>552</v>
      </c>
      <c r="D1351" s="6" t="str">
        <f>"罗小妹"</f>
        <v>罗小妹</v>
      </c>
      <c r="E1351" s="6" t="str">
        <f t="shared" si="38"/>
        <v>女</v>
      </c>
    </row>
    <row r="1352" spans="1:5" ht="30" customHeight="1">
      <c r="A1352" s="6">
        <v>1350</v>
      </c>
      <c r="B1352" s="6" t="str">
        <f>"299420210526193605108234"</f>
        <v>299420210526193605108234</v>
      </c>
      <c r="C1352" s="6" t="s">
        <v>552</v>
      </c>
      <c r="D1352" s="6" t="str">
        <f>"郭江丹"</f>
        <v>郭江丹</v>
      </c>
      <c r="E1352" s="6" t="str">
        <f t="shared" si="38"/>
        <v>女</v>
      </c>
    </row>
    <row r="1353" spans="1:5" ht="30" customHeight="1">
      <c r="A1353" s="6">
        <v>1351</v>
      </c>
      <c r="B1353" s="6" t="str">
        <f>"299420210526193818108242"</f>
        <v>299420210526193818108242</v>
      </c>
      <c r="C1353" s="6" t="s">
        <v>552</v>
      </c>
      <c r="D1353" s="6" t="str">
        <f>"杨丹"</f>
        <v>杨丹</v>
      </c>
      <c r="E1353" s="6" t="str">
        <f t="shared" si="38"/>
        <v>女</v>
      </c>
    </row>
    <row r="1354" spans="1:5" ht="30" customHeight="1">
      <c r="A1354" s="6">
        <v>1352</v>
      </c>
      <c r="B1354" s="6" t="str">
        <f>"299420210526195130108264"</f>
        <v>299420210526195130108264</v>
      </c>
      <c r="C1354" s="6" t="s">
        <v>552</v>
      </c>
      <c r="D1354" s="6" t="str">
        <f>"陈春芳"</f>
        <v>陈春芳</v>
      </c>
      <c r="E1354" s="6" t="str">
        <f t="shared" si="38"/>
        <v>女</v>
      </c>
    </row>
    <row r="1355" spans="1:5" ht="30" customHeight="1">
      <c r="A1355" s="6">
        <v>1353</v>
      </c>
      <c r="B1355" s="6" t="str">
        <f>"299420210526195821108277"</f>
        <v>299420210526195821108277</v>
      </c>
      <c r="C1355" s="6" t="s">
        <v>552</v>
      </c>
      <c r="D1355" s="6" t="str">
        <f>"张秀丽"</f>
        <v>张秀丽</v>
      </c>
      <c r="E1355" s="6" t="str">
        <f t="shared" si="38"/>
        <v>女</v>
      </c>
    </row>
    <row r="1356" spans="1:5" ht="30" customHeight="1">
      <c r="A1356" s="6">
        <v>1354</v>
      </c>
      <c r="B1356" s="6" t="str">
        <f>"299420210526195856108278"</f>
        <v>299420210526195856108278</v>
      </c>
      <c r="C1356" s="6" t="s">
        <v>552</v>
      </c>
      <c r="D1356" s="6" t="str">
        <f>"张华丽"</f>
        <v>张华丽</v>
      </c>
      <c r="E1356" s="6" t="str">
        <f t="shared" si="38"/>
        <v>女</v>
      </c>
    </row>
    <row r="1357" spans="1:5" ht="30" customHeight="1">
      <c r="A1357" s="6">
        <v>1355</v>
      </c>
      <c r="B1357" s="6" t="str">
        <f>"299420210526200512108290"</f>
        <v>299420210526200512108290</v>
      </c>
      <c r="C1357" s="6" t="s">
        <v>552</v>
      </c>
      <c r="D1357" s="6" t="str">
        <f>"王小辉"</f>
        <v>王小辉</v>
      </c>
      <c r="E1357" s="6" t="str">
        <f t="shared" si="38"/>
        <v>女</v>
      </c>
    </row>
    <row r="1358" spans="1:5" ht="30" customHeight="1">
      <c r="A1358" s="6">
        <v>1356</v>
      </c>
      <c r="B1358" s="6" t="str">
        <f>"299420210526201320108306"</f>
        <v>299420210526201320108306</v>
      </c>
      <c r="C1358" s="6" t="s">
        <v>552</v>
      </c>
      <c r="D1358" s="6" t="str">
        <f>"符有妹"</f>
        <v>符有妹</v>
      </c>
      <c r="E1358" s="6" t="str">
        <f t="shared" si="38"/>
        <v>女</v>
      </c>
    </row>
    <row r="1359" spans="1:5" ht="30" customHeight="1">
      <c r="A1359" s="6">
        <v>1357</v>
      </c>
      <c r="B1359" s="6" t="str">
        <f>"299420210526201743108314"</f>
        <v>299420210526201743108314</v>
      </c>
      <c r="C1359" s="6" t="s">
        <v>552</v>
      </c>
      <c r="D1359" s="6" t="str">
        <f>"赵美佳"</f>
        <v>赵美佳</v>
      </c>
      <c r="E1359" s="6" t="str">
        <f t="shared" si="38"/>
        <v>女</v>
      </c>
    </row>
    <row r="1360" spans="1:5" ht="30" customHeight="1">
      <c r="A1360" s="6">
        <v>1358</v>
      </c>
      <c r="B1360" s="6" t="str">
        <f>"299420210526201907108319"</f>
        <v>299420210526201907108319</v>
      </c>
      <c r="C1360" s="6" t="s">
        <v>552</v>
      </c>
      <c r="D1360" s="6" t="str">
        <f>"陈娇凤"</f>
        <v>陈娇凤</v>
      </c>
      <c r="E1360" s="6" t="str">
        <f t="shared" si="38"/>
        <v>女</v>
      </c>
    </row>
    <row r="1361" spans="1:5" ht="30" customHeight="1">
      <c r="A1361" s="6">
        <v>1359</v>
      </c>
      <c r="B1361" s="6" t="str">
        <f>"299420210526202354108327"</f>
        <v>299420210526202354108327</v>
      </c>
      <c r="C1361" s="6" t="s">
        <v>552</v>
      </c>
      <c r="D1361" s="6" t="str">
        <f>"潘柳蓉"</f>
        <v>潘柳蓉</v>
      </c>
      <c r="E1361" s="6" t="str">
        <f t="shared" si="38"/>
        <v>女</v>
      </c>
    </row>
    <row r="1362" spans="1:5" ht="30" customHeight="1">
      <c r="A1362" s="6">
        <v>1360</v>
      </c>
      <c r="B1362" s="6" t="str">
        <f>"299420210526203230108340"</f>
        <v>299420210526203230108340</v>
      </c>
      <c r="C1362" s="6" t="s">
        <v>552</v>
      </c>
      <c r="D1362" s="6" t="str">
        <f>"苏利曼"</f>
        <v>苏利曼</v>
      </c>
      <c r="E1362" s="6" t="str">
        <f t="shared" si="38"/>
        <v>女</v>
      </c>
    </row>
    <row r="1363" spans="1:5" ht="30" customHeight="1">
      <c r="A1363" s="6">
        <v>1361</v>
      </c>
      <c r="B1363" s="6" t="str">
        <f>"299420210526203740108350"</f>
        <v>299420210526203740108350</v>
      </c>
      <c r="C1363" s="6" t="s">
        <v>552</v>
      </c>
      <c r="D1363" s="6" t="str">
        <f>"符小青"</f>
        <v>符小青</v>
      </c>
      <c r="E1363" s="6" t="str">
        <f t="shared" si="38"/>
        <v>女</v>
      </c>
    </row>
    <row r="1364" spans="1:5" ht="30" customHeight="1">
      <c r="A1364" s="6">
        <v>1362</v>
      </c>
      <c r="B1364" s="6" t="str">
        <f>"299420210526203826108351"</f>
        <v>299420210526203826108351</v>
      </c>
      <c r="C1364" s="6" t="s">
        <v>552</v>
      </c>
      <c r="D1364" s="6" t="str">
        <f>"周金莉"</f>
        <v>周金莉</v>
      </c>
      <c r="E1364" s="6" t="str">
        <f t="shared" si="38"/>
        <v>女</v>
      </c>
    </row>
    <row r="1365" spans="1:5" ht="30" customHeight="1">
      <c r="A1365" s="6">
        <v>1363</v>
      </c>
      <c r="B1365" s="6" t="str">
        <f>"299420210526204431108366"</f>
        <v>299420210526204431108366</v>
      </c>
      <c r="C1365" s="6" t="s">
        <v>552</v>
      </c>
      <c r="D1365" s="6" t="str">
        <f>"陈洁"</f>
        <v>陈洁</v>
      </c>
      <c r="E1365" s="6" t="str">
        <f t="shared" si="38"/>
        <v>女</v>
      </c>
    </row>
    <row r="1366" spans="1:5" ht="30" customHeight="1">
      <c r="A1366" s="6">
        <v>1364</v>
      </c>
      <c r="B1366" s="6" t="str">
        <f>"299420210526205006108373"</f>
        <v>299420210526205006108373</v>
      </c>
      <c r="C1366" s="6" t="s">
        <v>552</v>
      </c>
      <c r="D1366" s="6" t="str">
        <f>"郑淑萍"</f>
        <v>郑淑萍</v>
      </c>
      <c r="E1366" s="6" t="str">
        <f t="shared" si="38"/>
        <v>女</v>
      </c>
    </row>
    <row r="1367" spans="1:5" ht="30" customHeight="1">
      <c r="A1367" s="6">
        <v>1365</v>
      </c>
      <c r="B1367" s="6" t="str">
        <f>"299420210526205200108377"</f>
        <v>299420210526205200108377</v>
      </c>
      <c r="C1367" s="6" t="s">
        <v>552</v>
      </c>
      <c r="D1367" s="6" t="str">
        <f>"吴虹臻"</f>
        <v>吴虹臻</v>
      </c>
      <c r="E1367" s="6" t="str">
        <f t="shared" si="38"/>
        <v>女</v>
      </c>
    </row>
    <row r="1368" spans="1:5" ht="30" customHeight="1">
      <c r="A1368" s="6">
        <v>1366</v>
      </c>
      <c r="B1368" s="6" t="str">
        <f>"299420210526205728108387"</f>
        <v>299420210526205728108387</v>
      </c>
      <c r="C1368" s="6" t="s">
        <v>552</v>
      </c>
      <c r="D1368" s="6" t="str">
        <f>"李宜健"</f>
        <v>李宜健</v>
      </c>
      <c r="E1368" s="6" t="str">
        <f t="shared" si="38"/>
        <v>女</v>
      </c>
    </row>
    <row r="1369" spans="1:5" ht="30" customHeight="1">
      <c r="A1369" s="6">
        <v>1367</v>
      </c>
      <c r="B1369" s="6" t="str">
        <f>"299420210526205935108394"</f>
        <v>299420210526205935108394</v>
      </c>
      <c r="C1369" s="6" t="s">
        <v>552</v>
      </c>
      <c r="D1369" s="6" t="str">
        <f>"黄雪萍"</f>
        <v>黄雪萍</v>
      </c>
      <c r="E1369" s="6" t="str">
        <f t="shared" si="38"/>
        <v>女</v>
      </c>
    </row>
    <row r="1370" spans="1:5" ht="30" customHeight="1">
      <c r="A1370" s="6">
        <v>1368</v>
      </c>
      <c r="B1370" s="6" t="str">
        <f>"299420210526210223108396"</f>
        <v>299420210526210223108396</v>
      </c>
      <c r="C1370" s="6" t="s">
        <v>552</v>
      </c>
      <c r="D1370" s="6" t="str">
        <f>"陈晓美"</f>
        <v>陈晓美</v>
      </c>
      <c r="E1370" s="6" t="str">
        <f t="shared" si="38"/>
        <v>女</v>
      </c>
    </row>
    <row r="1371" spans="1:5" ht="30" customHeight="1">
      <c r="A1371" s="6">
        <v>1369</v>
      </c>
      <c r="B1371" s="6" t="str">
        <f>"299420210526210316108398"</f>
        <v>299420210526210316108398</v>
      </c>
      <c r="C1371" s="6" t="s">
        <v>552</v>
      </c>
      <c r="D1371" s="6" t="str">
        <f>"吴飞湖"</f>
        <v>吴飞湖</v>
      </c>
      <c r="E1371" s="6" t="str">
        <f t="shared" si="38"/>
        <v>女</v>
      </c>
    </row>
    <row r="1372" spans="1:5" ht="30" customHeight="1">
      <c r="A1372" s="6">
        <v>1370</v>
      </c>
      <c r="B1372" s="6" t="str">
        <f>"299420210526210439108404"</f>
        <v>299420210526210439108404</v>
      </c>
      <c r="C1372" s="6" t="s">
        <v>552</v>
      </c>
      <c r="D1372" s="6" t="str">
        <f>"陈芬"</f>
        <v>陈芬</v>
      </c>
      <c r="E1372" s="6" t="str">
        <f t="shared" si="38"/>
        <v>女</v>
      </c>
    </row>
    <row r="1373" spans="1:5" ht="30" customHeight="1">
      <c r="A1373" s="6">
        <v>1371</v>
      </c>
      <c r="B1373" s="6" t="str">
        <f>"299420210526211001108417"</f>
        <v>299420210526211001108417</v>
      </c>
      <c r="C1373" s="6" t="s">
        <v>552</v>
      </c>
      <c r="D1373" s="6" t="str">
        <f>"王思池"</f>
        <v>王思池</v>
      </c>
      <c r="E1373" s="6" t="str">
        <f t="shared" si="38"/>
        <v>女</v>
      </c>
    </row>
    <row r="1374" spans="1:5" ht="30" customHeight="1">
      <c r="A1374" s="6">
        <v>1372</v>
      </c>
      <c r="B1374" s="6" t="str">
        <f>"299420210526211112108420"</f>
        <v>299420210526211112108420</v>
      </c>
      <c r="C1374" s="6" t="s">
        <v>552</v>
      </c>
      <c r="D1374" s="6" t="str">
        <f>"潘雨"</f>
        <v>潘雨</v>
      </c>
      <c r="E1374" s="6" t="str">
        <f t="shared" si="38"/>
        <v>女</v>
      </c>
    </row>
    <row r="1375" spans="1:5" ht="30" customHeight="1">
      <c r="A1375" s="6">
        <v>1373</v>
      </c>
      <c r="B1375" s="6" t="str">
        <f>"299420210526211258108429"</f>
        <v>299420210526211258108429</v>
      </c>
      <c r="C1375" s="6" t="s">
        <v>552</v>
      </c>
      <c r="D1375" s="6" t="str">
        <f>"卢书怡"</f>
        <v>卢书怡</v>
      </c>
      <c r="E1375" s="6" t="str">
        <f t="shared" si="38"/>
        <v>女</v>
      </c>
    </row>
    <row r="1376" spans="1:5" ht="30" customHeight="1">
      <c r="A1376" s="6">
        <v>1374</v>
      </c>
      <c r="B1376" s="6" t="str">
        <f>"299420210526212237108451"</f>
        <v>299420210526212237108451</v>
      </c>
      <c r="C1376" s="6" t="s">
        <v>552</v>
      </c>
      <c r="D1376" s="6" t="str">
        <f>"黎丽莎"</f>
        <v>黎丽莎</v>
      </c>
      <c r="E1376" s="6" t="str">
        <f t="shared" si="38"/>
        <v>女</v>
      </c>
    </row>
    <row r="1377" spans="1:5" ht="30" customHeight="1">
      <c r="A1377" s="6">
        <v>1375</v>
      </c>
      <c r="B1377" s="6" t="str">
        <f>"299420210526213018108464"</f>
        <v>299420210526213018108464</v>
      </c>
      <c r="C1377" s="6" t="s">
        <v>552</v>
      </c>
      <c r="D1377" s="6" t="str">
        <f>"陈潇潇"</f>
        <v>陈潇潇</v>
      </c>
      <c r="E1377" s="6" t="str">
        <f t="shared" si="38"/>
        <v>女</v>
      </c>
    </row>
    <row r="1378" spans="1:5" ht="30" customHeight="1">
      <c r="A1378" s="6">
        <v>1376</v>
      </c>
      <c r="B1378" s="6" t="str">
        <f>"299420210526213130108468"</f>
        <v>299420210526213130108468</v>
      </c>
      <c r="C1378" s="6" t="s">
        <v>552</v>
      </c>
      <c r="D1378" s="6" t="str">
        <f>"翟宏柳"</f>
        <v>翟宏柳</v>
      </c>
      <c r="E1378" s="6" t="str">
        <f t="shared" si="38"/>
        <v>女</v>
      </c>
    </row>
    <row r="1379" spans="1:5" ht="30" customHeight="1">
      <c r="A1379" s="6">
        <v>1377</v>
      </c>
      <c r="B1379" s="6" t="str">
        <f>"299420210526213516108477"</f>
        <v>299420210526213516108477</v>
      </c>
      <c r="C1379" s="6" t="s">
        <v>552</v>
      </c>
      <c r="D1379" s="6" t="str">
        <f>"王素南"</f>
        <v>王素南</v>
      </c>
      <c r="E1379" s="6" t="str">
        <f t="shared" si="38"/>
        <v>女</v>
      </c>
    </row>
    <row r="1380" spans="1:5" ht="30" customHeight="1">
      <c r="A1380" s="6">
        <v>1378</v>
      </c>
      <c r="B1380" s="6" t="str">
        <f>"299420210526214121108492"</f>
        <v>299420210526214121108492</v>
      </c>
      <c r="C1380" s="6" t="s">
        <v>552</v>
      </c>
      <c r="D1380" s="6" t="str">
        <f>"倪佳鑫"</f>
        <v>倪佳鑫</v>
      </c>
      <c r="E1380" s="6" t="str">
        <f t="shared" si="38"/>
        <v>女</v>
      </c>
    </row>
    <row r="1381" spans="1:5" ht="30" customHeight="1">
      <c r="A1381" s="6">
        <v>1379</v>
      </c>
      <c r="B1381" s="6" t="str">
        <f>"299420210526214329108494"</f>
        <v>299420210526214329108494</v>
      </c>
      <c r="C1381" s="6" t="s">
        <v>552</v>
      </c>
      <c r="D1381" s="6" t="str">
        <f>"邱小叶"</f>
        <v>邱小叶</v>
      </c>
      <c r="E1381" s="6" t="str">
        <f t="shared" si="38"/>
        <v>女</v>
      </c>
    </row>
    <row r="1382" spans="1:5" ht="30" customHeight="1">
      <c r="A1382" s="6">
        <v>1380</v>
      </c>
      <c r="B1382" s="6" t="str">
        <f>"299420210526215356108518"</f>
        <v>299420210526215356108518</v>
      </c>
      <c r="C1382" s="6" t="s">
        <v>552</v>
      </c>
      <c r="D1382" s="6" t="str">
        <f>"梁宇晨"</f>
        <v>梁宇晨</v>
      </c>
      <c r="E1382" s="6" t="str">
        <f t="shared" si="38"/>
        <v>女</v>
      </c>
    </row>
    <row r="1383" spans="1:5" ht="30" customHeight="1">
      <c r="A1383" s="6">
        <v>1381</v>
      </c>
      <c r="B1383" s="6" t="str">
        <f>"299420210526215625108521"</f>
        <v>299420210526215625108521</v>
      </c>
      <c r="C1383" s="6" t="s">
        <v>552</v>
      </c>
      <c r="D1383" s="6" t="str">
        <f>"陈虹妃"</f>
        <v>陈虹妃</v>
      </c>
      <c r="E1383" s="6" t="str">
        <f t="shared" si="38"/>
        <v>女</v>
      </c>
    </row>
    <row r="1384" spans="1:5" ht="30" customHeight="1">
      <c r="A1384" s="6">
        <v>1382</v>
      </c>
      <c r="B1384" s="6" t="str">
        <f>"299420210526220304108538"</f>
        <v>299420210526220304108538</v>
      </c>
      <c r="C1384" s="6" t="s">
        <v>552</v>
      </c>
      <c r="D1384" s="6" t="str">
        <f>"邹冬梅"</f>
        <v>邹冬梅</v>
      </c>
      <c r="E1384" s="6" t="str">
        <f t="shared" si="38"/>
        <v>女</v>
      </c>
    </row>
    <row r="1385" spans="1:5" ht="30" customHeight="1">
      <c r="A1385" s="6">
        <v>1383</v>
      </c>
      <c r="B1385" s="6" t="str">
        <f>"299420210526220417108543"</f>
        <v>299420210526220417108543</v>
      </c>
      <c r="C1385" s="6" t="s">
        <v>552</v>
      </c>
      <c r="D1385" s="6" t="str">
        <f>"黄小健"</f>
        <v>黄小健</v>
      </c>
      <c r="E1385" s="6" t="str">
        <f t="shared" si="38"/>
        <v>女</v>
      </c>
    </row>
    <row r="1386" spans="1:5" ht="30" customHeight="1">
      <c r="A1386" s="6">
        <v>1384</v>
      </c>
      <c r="B1386" s="6" t="str">
        <f>"299420210526220637108551"</f>
        <v>299420210526220637108551</v>
      </c>
      <c r="C1386" s="6" t="s">
        <v>552</v>
      </c>
      <c r="D1386" s="6" t="str">
        <f>"王玉婷"</f>
        <v>王玉婷</v>
      </c>
      <c r="E1386" s="6" t="str">
        <f t="shared" si="38"/>
        <v>女</v>
      </c>
    </row>
    <row r="1387" spans="1:5" ht="30" customHeight="1">
      <c r="A1387" s="6">
        <v>1385</v>
      </c>
      <c r="B1387" s="6" t="str">
        <f>"299420210526220916108557"</f>
        <v>299420210526220916108557</v>
      </c>
      <c r="C1387" s="6" t="s">
        <v>552</v>
      </c>
      <c r="D1387" s="6" t="str">
        <f>"李晓雪"</f>
        <v>李晓雪</v>
      </c>
      <c r="E1387" s="6" t="str">
        <f t="shared" si="38"/>
        <v>女</v>
      </c>
    </row>
    <row r="1388" spans="1:5" ht="30" customHeight="1">
      <c r="A1388" s="6">
        <v>1386</v>
      </c>
      <c r="B1388" s="6" t="str">
        <f>"299420210526221251108566"</f>
        <v>299420210526221251108566</v>
      </c>
      <c r="C1388" s="6" t="s">
        <v>552</v>
      </c>
      <c r="D1388" s="6" t="str">
        <f>"吴青蔓"</f>
        <v>吴青蔓</v>
      </c>
      <c r="E1388" s="6" t="str">
        <f t="shared" si="38"/>
        <v>女</v>
      </c>
    </row>
    <row r="1389" spans="1:5" ht="30" customHeight="1">
      <c r="A1389" s="6">
        <v>1387</v>
      </c>
      <c r="B1389" s="6" t="str">
        <f>"299420210526221337108569"</f>
        <v>299420210526221337108569</v>
      </c>
      <c r="C1389" s="6" t="s">
        <v>552</v>
      </c>
      <c r="D1389" s="6" t="str">
        <f>"马敏敏"</f>
        <v>马敏敏</v>
      </c>
      <c r="E1389" s="6" t="str">
        <f t="shared" si="38"/>
        <v>女</v>
      </c>
    </row>
    <row r="1390" spans="1:5" ht="30" customHeight="1">
      <c r="A1390" s="6">
        <v>1388</v>
      </c>
      <c r="B1390" s="6" t="str">
        <f>"299420210526221933108584"</f>
        <v>299420210526221933108584</v>
      </c>
      <c r="C1390" s="6" t="s">
        <v>552</v>
      </c>
      <c r="D1390" s="6" t="str">
        <f>"王转珠"</f>
        <v>王转珠</v>
      </c>
      <c r="E1390" s="6" t="str">
        <f t="shared" si="38"/>
        <v>女</v>
      </c>
    </row>
    <row r="1391" spans="1:5" ht="30" customHeight="1">
      <c r="A1391" s="6">
        <v>1389</v>
      </c>
      <c r="B1391" s="6" t="str">
        <f>"299420210526222712108603"</f>
        <v>299420210526222712108603</v>
      </c>
      <c r="C1391" s="6" t="s">
        <v>552</v>
      </c>
      <c r="D1391" s="6" t="str">
        <f>"刘秋燕"</f>
        <v>刘秋燕</v>
      </c>
      <c r="E1391" s="6" t="str">
        <f t="shared" si="38"/>
        <v>女</v>
      </c>
    </row>
    <row r="1392" spans="1:5" ht="30" customHeight="1">
      <c r="A1392" s="6">
        <v>1390</v>
      </c>
      <c r="B1392" s="6" t="str">
        <f>"299420210526222817108604"</f>
        <v>299420210526222817108604</v>
      </c>
      <c r="C1392" s="6" t="s">
        <v>552</v>
      </c>
      <c r="D1392" s="6" t="str">
        <f>"王雅菲"</f>
        <v>王雅菲</v>
      </c>
      <c r="E1392" s="6" t="str">
        <f t="shared" si="38"/>
        <v>女</v>
      </c>
    </row>
    <row r="1393" spans="1:5" ht="30" customHeight="1">
      <c r="A1393" s="6">
        <v>1391</v>
      </c>
      <c r="B1393" s="6" t="str">
        <f>"299420210526223033108607"</f>
        <v>299420210526223033108607</v>
      </c>
      <c r="C1393" s="6" t="s">
        <v>552</v>
      </c>
      <c r="D1393" s="6" t="str">
        <f>"辛夏丹"</f>
        <v>辛夏丹</v>
      </c>
      <c r="E1393" s="6" t="str">
        <f t="shared" si="38"/>
        <v>女</v>
      </c>
    </row>
    <row r="1394" spans="1:5" ht="30" customHeight="1">
      <c r="A1394" s="6">
        <v>1392</v>
      </c>
      <c r="B1394" s="6" t="str">
        <f>"299420210526223503108612"</f>
        <v>299420210526223503108612</v>
      </c>
      <c r="C1394" s="6" t="s">
        <v>552</v>
      </c>
      <c r="D1394" s="6" t="str">
        <f>"郭玲珠"</f>
        <v>郭玲珠</v>
      </c>
      <c r="E1394" s="6" t="str">
        <f t="shared" si="38"/>
        <v>女</v>
      </c>
    </row>
    <row r="1395" spans="1:5" ht="30" customHeight="1">
      <c r="A1395" s="6">
        <v>1393</v>
      </c>
      <c r="B1395" s="6" t="str">
        <f>"299420210526223556108616"</f>
        <v>299420210526223556108616</v>
      </c>
      <c r="C1395" s="6" t="s">
        <v>552</v>
      </c>
      <c r="D1395" s="6" t="str">
        <f>"林小芳"</f>
        <v>林小芳</v>
      </c>
      <c r="E1395" s="6" t="str">
        <f t="shared" si="38"/>
        <v>女</v>
      </c>
    </row>
    <row r="1396" spans="1:5" ht="30" customHeight="1">
      <c r="A1396" s="6">
        <v>1394</v>
      </c>
      <c r="B1396" s="6" t="str">
        <f>"299420210526223604108618"</f>
        <v>299420210526223604108618</v>
      </c>
      <c r="C1396" s="6" t="s">
        <v>552</v>
      </c>
      <c r="D1396" s="6" t="str">
        <f>"陈晓瑜"</f>
        <v>陈晓瑜</v>
      </c>
      <c r="E1396" s="6" t="str">
        <f t="shared" si="38"/>
        <v>女</v>
      </c>
    </row>
    <row r="1397" spans="1:5" ht="30" customHeight="1">
      <c r="A1397" s="6">
        <v>1395</v>
      </c>
      <c r="B1397" s="6" t="str">
        <f>"299420210526224012108628"</f>
        <v>299420210526224012108628</v>
      </c>
      <c r="C1397" s="6" t="s">
        <v>552</v>
      </c>
      <c r="D1397" s="6" t="str">
        <f>"余桂涛"</f>
        <v>余桂涛</v>
      </c>
      <c r="E1397" s="6" t="str">
        <f t="shared" si="38"/>
        <v>女</v>
      </c>
    </row>
    <row r="1398" spans="1:5" ht="30" customHeight="1">
      <c r="A1398" s="6">
        <v>1396</v>
      </c>
      <c r="B1398" s="6" t="str">
        <f>"299420210526224411108636"</f>
        <v>299420210526224411108636</v>
      </c>
      <c r="C1398" s="6" t="s">
        <v>552</v>
      </c>
      <c r="D1398" s="6" t="str">
        <f>"周银宇"</f>
        <v>周银宇</v>
      </c>
      <c r="E1398" s="6" t="str">
        <f t="shared" si="38"/>
        <v>女</v>
      </c>
    </row>
    <row r="1399" spans="1:5" ht="30" customHeight="1">
      <c r="A1399" s="6">
        <v>1397</v>
      </c>
      <c r="B1399" s="6" t="str">
        <f>"299420210526224853108643"</f>
        <v>299420210526224853108643</v>
      </c>
      <c r="C1399" s="6" t="s">
        <v>552</v>
      </c>
      <c r="D1399" s="6" t="str">
        <f>"李元花"</f>
        <v>李元花</v>
      </c>
      <c r="E1399" s="6" t="str">
        <f t="shared" si="38"/>
        <v>女</v>
      </c>
    </row>
    <row r="1400" spans="1:5" ht="30" customHeight="1">
      <c r="A1400" s="6">
        <v>1398</v>
      </c>
      <c r="B1400" s="6" t="str">
        <f>"299420210526230409108666"</f>
        <v>299420210526230409108666</v>
      </c>
      <c r="C1400" s="6" t="s">
        <v>552</v>
      </c>
      <c r="D1400" s="6" t="str">
        <f>"苏悦"</f>
        <v>苏悦</v>
      </c>
      <c r="E1400" s="6" t="str">
        <f t="shared" si="38"/>
        <v>女</v>
      </c>
    </row>
    <row r="1401" spans="1:5" ht="30" customHeight="1">
      <c r="A1401" s="6">
        <v>1399</v>
      </c>
      <c r="B1401" s="6" t="str">
        <f>"299420210526234057108711"</f>
        <v>299420210526234057108711</v>
      </c>
      <c r="C1401" s="6" t="s">
        <v>552</v>
      </c>
      <c r="D1401" s="6" t="str">
        <f>"李高艳"</f>
        <v>李高艳</v>
      </c>
      <c r="E1401" s="6" t="str">
        <f t="shared" si="38"/>
        <v>女</v>
      </c>
    </row>
    <row r="1402" spans="1:5" ht="30" customHeight="1">
      <c r="A1402" s="6">
        <v>1400</v>
      </c>
      <c r="B1402" s="6" t="str">
        <f>"299420210526234622108722"</f>
        <v>299420210526234622108722</v>
      </c>
      <c r="C1402" s="6" t="s">
        <v>552</v>
      </c>
      <c r="D1402" s="6" t="str">
        <f>"冯芷菁"</f>
        <v>冯芷菁</v>
      </c>
      <c r="E1402" s="6" t="str">
        <f aca="true" t="shared" si="39" ref="E1402:E1428">"女"</f>
        <v>女</v>
      </c>
    </row>
    <row r="1403" spans="1:5" ht="30" customHeight="1">
      <c r="A1403" s="6">
        <v>1401</v>
      </c>
      <c r="B1403" s="6" t="str">
        <f>"299420210526234934108727"</f>
        <v>299420210526234934108727</v>
      </c>
      <c r="C1403" s="6" t="s">
        <v>552</v>
      </c>
      <c r="D1403" s="6" t="str">
        <f>"苏锦霞"</f>
        <v>苏锦霞</v>
      </c>
      <c r="E1403" s="6" t="str">
        <f t="shared" si="39"/>
        <v>女</v>
      </c>
    </row>
    <row r="1404" spans="1:5" ht="30" customHeight="1">
      <c r="A1404" s="6">
        <v>1402</v>
      </c>
      <c r="B1404" s="6" t="str">
        <f>"299420210526235933108738"</f>
        <v>299420210526235933108738</v>
      </c>
      <c r="C1404" s="6" t="s">
        <v>552</v>
      </c>
      <c r="D1404" s="6" t="str">
        <f>"符爱仙"</f>
        <v>符爱仙</v>
      </c>
      <c r="E1404" s="6" t="str">
        <f t="shared" si="39"/>
        <v>女</v>
      </c>
    </row>
    <row r="1405" spans="1:5" ht="30" customHeight="1">
      <c r="A1405" s="6">
        <v>1403</v>
      </c>
      <c r="B1405" s="6" t="str">
        <f>"299420210527000351108742"</f>
        <v>299420210527000351108742</v>
      </c>
      <c r="C1405" s="6" t="s">
        <v>552</v>
      </c>
      <c r="D1405" s="6" t="str">
        <f>"谢义文"</f>
        <v>谢义文</v>
      </c>
      <c r="E1405" s="6" t="str">
        <f t="shared" si="39"/>
        <v>女</v>
      </c>
    </row>
    <row r="1406" spans="1:5" ht="30" customHeight="1">
      <c r="A1406" s="6">
        <v>1404</v>
      </c>
      <c r="B1406" s="6" t="str">
        <f>"299420210527000828108745"</f>
        <v>299420210527000828108745</v>
      </c>
      <c r="C1406" s="6" t="s">
        <v>552</v>
      </c>
      <c r="D1406" s="6" t="str">
        <f>"吴少玲"</f>
        <v>吴少玲</v>
      </c>
      <c r="E1406" s="6" t="str">
        <f t="shared" si="39"/>
        <v>女</v>
      </c>
    </row>
    <row r="1407" spans="1:5" ht="30" customHeight="1">
      <c r="A1407" s="6">
        <v>1405</v>
      </c>
      <c r="B1407" s="6" t="str">
        <f>"299420210527004025108759"</f>
        <v>299420210527004025108759</v>
      </c>
      <c r="C1407" s="6" t="s">
        <v>552</v>
      </c>
      <c r="D1407" s="6" t="str">
        <f>"陈菊妃"</f>
        <v>陈菊妃</v>
      </c>
      <c r="E1407" s="6" t="str">
        <f t="shared" si="39"/>
        <v>女</v>
      </c>
    </row>
    <row r="1408" spans="1:5" ht="30" customHeight="1">
      <c r="A1408" s="6">
        <v>1406</v>
      </c>
      <c r="B1408" s="6" t="str">
        <f>"299420210527005855108766"</f>
        <v>299420210527005855108766</v>
      </c>
      <c r="C1408" s="6" t="s">
        <v>552</v>
      </c>
      <c r="D1408" s="6" t="str">
        <f>"吴媚"</f>
        <v>吴媚</v>
      </c>
      <c r="E1408" s="6" t="str">
        <f t="shared" si="39"/>
        <v>女</v>
      </c>
    </row>
    <row r="1409" spans="1:5" ht="30" customHeight="1">
      <c r="A1409" s="6">
        <v>1407</v>
      </c>
      <c r="B1409" s="6" t="str">
        <f>"299420210527033757108784"</f>
        <v>299420210527033757108784</v>
      </c>
      <c r="C1409" s="6" t="s">
        <v>552</v>
      </c>
      <c r="D1409" s="6" t="str">
        <f>"苏二妹"</f>
        <v>苏二妹</v>
      </c>
      <c r="E1409" s="6" t="str">
        <f t="shared" si="39"/>
        <v>女</v>
      </c>
    </row>
    <row r="1410" spans="1:5" ht="30" customHeight="1">
      <c r="A1410" s="6">
        <v>1408</v>
      </c>
      <c r="B1410" s="6" t="str">
        <f>"299420210527045230108785"</f>
        <v>299420210527045230108785</v>
      </c>
      <c r="C1410" s="6" t="s">
        <v>552</v>
      </c>
      <c r="D1410" s="6" t="str">
        <f>"邢婷"</f>
        <v>邢婷</v>
      </c>
      <c r="E1410" s="6" t="str">
        <f t="shared" si="39"/>
        <v>女</v>
      </c>
    </row>
    <row r="1411" spans="1:5" ht="30" customHeight="1">
      <c r="A1411" s="6">
        <v>1409</v>
      </c>
      <c r="B1411" s="6" t="str">
        <f>"299420210527062621108790"</f>
        <v>299420210527062621108790</v>
      </c>
      <c r="C1411" s="6" t="s">
        <v>552</v>
      </c>
      <c r="D1411" s="6" t="str">
        <f>"罗春阳"</f>
        <v>罗春阳</v>
      </c>
      <c r="E1411" s="6" t="str">
        <f t="shared" si="39"/>
        <v>女</v>
      </c>
    </row>
    <row r="1412" spans="1:5" ht="30" customHeight="1">
      <c r="A1412" s="6">
        <v>1410</v>
      </c>
      <c r="B1412" s="6" t="str">
        <f>"299420210527064642108795"</f>
        <v>299420210527064642108795</v>
      </c>
      <c r="C1412" s="6" t="s">
        <v>552</v>
      </c>
      <c r="D1412" s="6" t="str">
        <f>"王玫"</f>
        <v>王玫</v>
      </c>
      <c r="E1412" s="6" t="str">
        <f t="shared" si="39"/>
        <v>女</v>
      </c>
    </row>
    <row r="1413" spans="1:5" ht="30" customHeight="1">
      <c r="A1413" s="6">
        <v>1411</v>
      </c>
      <c r="B1413" s="6" t="str">
        <f>"299420210527071610108800"</f>
        <v>299420210527071610108800</v>
      </c>
      <c r="C1413" s="6" t="s">
        <v>552</v>
      </c>
      <c r="D1413" s="6" t="str">
        <f>"李善吉"</f>
        <v>李善吉</v>
      </c>
      <c r="E1413" s="6" t="str">
        <f t="shared" si="39"/>
        <v>女</v>
      </c>
    </row>
    <row r="1414" spans="1:5" ht="30" customHeight="1">
      <c r="A1414" s="6">
        <v>1412</v>
      </c>
      <c r="B1414" s="6" t="str">
        <f>"299420210527073955108808"</f>
        <v>299420210527073955108808</v>
      </c>
      <c r="C1414" s="6" t="s">
        <v>552</v>
      </c>
      <c r="D1414" s="6" t="str">
        <f>"符文晶"</f>
        <v>符文晶</v>
      </c>
      <c r="E1414" s="6" t="str">
        <f t="shared" si="39"/>
        <v>女</v>
      </c>
    </row>
    <row r="1415" spans="1:5" ht="30" customHeight="1">
      <c r="A1415" s="6">
        <v>1413</v>
      </c>
      <c r="B1415" s="6" t="str">
        <f>"299420210527080802108824"</f>
        <v>299420210527080802108824</v>
      </c>
      <c r="C1415" s="6" t="s">
        <v>552</v>
      </c>
      <c r="D1415" s="6" t="str">
        <f>"吴淑娇"</f>
        <v>吴淑娇</v>
      </c>
      <c r="E1415" s="6" t="str">
        <f t="shared" si="39"/>
        <v>女</v>
      </c>
    </row>
    <row r="1416" spans="1:5" ht="30" customHeight="1">
      <c r="A1416" s="6">
        <v>1414</v>
      </c>
      <c r="B1416" s="6" t="str">
        <f>"299420210527080852108825"</f>
        <v>299420210527080852108825</v>
      </c>
      <c r="C1416" s="6" t="s">
        <v>552</v>
      </c>
      <c r="D1416" s="6" t="str">
        <f>"王海珊"</f>
        <v>王海珊</v>
      </c>
      <c r="E1416" s="6" t="str">
        <f t="shared" si="39"/>
        <v>女</v>
      </c>
    </row>
    <row r="1417" spans="1:5" ht="30" customHeight="1">
      <c r="A1417" s="6">
        <v>1415</v>
      </c>
      <c r="B1417" s="6" t="str">
        <f>"299420210527081321108830"</f>
        <v>299420210527081321108830</v>
      </c>
      <c r="C1417" s="6" t="s">
        <v>552</v>
      </c>
      <c r="D1417" s="6" t="str">
        <f>"刘莹"</f>
        <v>刘莹</v>
      </c>
      <c r="E1417" s="6" t="str">
        <f t="shared" si="39"/>
        <v>女</v>
      </c>
    </row>
    <row r="1418" spans="1:5" ht="30" customHeight="1">
      <c r="A1418" s="6">
        <v>1416</v>
      </c>
      <c r="B1418" s="6" t="str">
        <f>"299420210527082414108837"</f>
        <v>299420210527082414108837</v>
      </c>
      <c r="C1418" s="6" t="s">
        <v>552</v>
      </c>
      <c r="D1418" s="6" t="str">
        <f>"李秀慧子"</f>
        <v>李秀慧子</v>
      </c>
      <c r="E1418" s="6" t="str">
        <f t="shared" si="39"/>
        <v>女</v>
      </c>
    </row>
    <row r="1419" spans="1:5" ht="30" customHeight="1">
      <c r="A1419" s="6">
        <v>1417</v>
      </c>
      <c r="B1419" s="6" t="str">
        <f>"299420210527082945108842"</f>
        <v>299420210527082945108842</v>
      </c>
      <c r="C1419" s="6" t="s">
        <v>552</v>
      </c>
      <c r="D1419" s="6" t="str">
        <f>"冼心雅"</f>
        <v>冼心雅</v>
      </c>
      <c r="E1419" s="6" t="str">
        <f t="shared" si="39"/>
        <v>女</v>
      </c>
    </row>
    <row r="1420" spans="1:5" ht="30" customHeight="1">
      <c r="A1420" s="6">
        <v>1418</v>
      </c>
      <c r="B1420" s="6" t="str">
        <f>"299420210527083014108843"</f>
        <v>299420210527083014108843</v>
      </c>
      <c r="C1420" s="6" t="s">
        <v>552</v>
      </c>
      <c r="D1420" s="6" t="str">
        <f>"陈慧婕"</f>
        <v>陈慧婕</v>
      </c>
      <c r="E1420" s="6" t="str">
        <f t="shared" si="39"/>
        <v>女</v>
      </c>
    </row>
    <row r="1421" spans="1:5" ht="30" customHeight="1">
      <c r="A1421" s="6">
        <v>1419</v>
      </c>
      <c r="B1421" s="6" t="str">
        <f>"299420210527083456108849"</f>
        <v>299420210527083456108849</v>
      </c>
      <c r="C1421" s="6" t="s">
        <v>552</v>
      </c>
      <c r="D1421" s="6" t="str">
        <f>"唐空 "</f>
        <v>唐空 </v>
      </c>
      <c r="E1421" s="6" t="str">
        <f t="shared" si="39"/>
        <v>女</v>
      </c>
    </row>
    <row r="1422" spans="1:5" ht="30" customHeight="1">
      <c r="A1422" s="6">
        <v>1420</v>
      </c>
      <c r="B1422" s="6" t="str">
        <f>"299420210527084033108856"</f>
        <v>299420210527084033108856</v>
      </c>
      <c r="C1422" s="6" t="s">
        <v>552</v>
      </c>
      <c r="D1422" s="6" t="str">
        <f>"谭文颖"</f>
        <v>谭文颖</v>
      </c>
      <c r="E1422" s="6" t="str">
        <f t="shared" si="39"/>
        <v>女</v>
      </c>
    </row>
    <row r="1423" spans="1:5" ht="30" customHeight="1">
      <c r="A1423" s="6">
        <v>1421</v>
      </c>
      <c r="B1423" s="6" t="str">
        <f>"299420210527084336108860"</f>
        <v>299420210527084336108860</v>
      </c>
      <c r="C1423" s="6" t="s">
        <v>552</v>
      </c>
      <c r="D1423" s="6" t="str">
        <f>"熊嘉雯"</f>
        <v>熊嘉雯</v>
      </c>
      <c r="E1423" s="6" t="str">
        <f t="shared" si="39"/>
        <v>女</v>
      </c>
    </row>
    <row r="1424" spans="1:5" ht="30" customHeight="1">
      <c r="A1424" s="6">
        <v>1422</v>
      </c>
      <c r="B1424" s="6" t="str">
        <f>"299420210527084732108866"</f>
        <v>299420210527084732108866</v>
      </c>
      <c r="C1424" s="6" t="s">
        <v>552</v>
      </c>
      <c r="D1424" s="6" t="str">
        <f>"伍利君"</f>
        <v>伍利君</v>
      </c>
      <c r="E1424" s="6" t="str">
        <f t="shared" si="39"/>
        <v>女</v>
      </c>
    </row>
    <row r="1425" spans="1:5" ht="30" customHeight="1">
      <c r="A1425" s="6">
        <v>1423</v>
      </c>
      <c r="B1425" s="6" t="str">
        <f>"299420210527085239108870"</f>
        <v>299420210527085239108870</v>
      </c>
      <c r="C1425" s="6" t="s">
        <v>552</v>
      </c>
      <c r="D1425" s="6" t="str">
        <f>"陈其霞"</f>
        <v>陈其霞</v>
      </c>
      <c r="E1425" s="6" t="str">
        <f t="shared" si="39"/>
        <v>女</v>
      </c>
    </row>
    <row r="1426" spans="1:5" ht="30" customHeight="1">
      <c r="A1426" s="6">
        <v>1424</v>
      </c>
      <c r="B1426" s="6" t="str">
        <f>"299420210527085300108872"</f>
        <v>299420210527085300108872</v>
      </c>
      <c r="C1426" s="6" t="s">
        <v>552</v>
      </c>
      <c r="D1426" s="6" t="str">
        <f>"叶焕焕"</f>
        <v>叶焕焕</v>
      </c>
      <c r="E1426" s="6" t="str">
        <f t="shared" si="39"/>
        <v>女</v>
      </c>
    </row>
    <row r="1427" spans="1:5" ht="30" customHeight="1">
      <c r="A1427" s="6">
        <v>1425</v>
      </c>
      <c r="B1427" s="6" t="str">
        <f>"299420210527085403108876"</f>
        <v>299420210527085403108876</v>
      </c>
      <c r="C1427" s="6" t="s">
        <v>552</v>
      </c>
      <c r="D1427" s="6" t="str">
        <f>"钟小静"</f>
        <v>钟小静</v>
      </c>
      <c r="E1427" s="6" t="str">
        <f t="shared" si="39"/>
        <v>女</v>
      </c>
    </row>
    <row r="1428" spans="1:5" ht="30" customHeight="1">
      <c r="A1428" s="6">
        <v>1426</v>
      </c>
      <c r="B1428" s="6" t="str">
        <f>"299420210527090252108892"</f>
        <v>299420210527090252108892</v>
      </c>
      <c r="C1428" s="6" t="s">
        <v>552</v>
      </c>
      <c r="D1428" s="6" t="str">
        <f>"王媛"</f>
        <v>王媛</v>
      </c>
      <c r="E1428" s="6" t="str">
        <f t="shared" si="39"/>
        <v>女</v>
      </c>
    </row>
    <row r="1429" spans="1:5" ht="30" customHeight="1">
      <c r="A1429" s="6">
        <v>1427</v>
      </c>
      <c r="B1429" s="6" t="str">
        <f>"299420210527090521108894"</f>
        <v>299420210527090521108894</v>
      </c>
      <c r="C1429" s="6" t="s">
        <v>552</v>
      </c>
      <c r="D1429" s="6" t="str">
        <f>"周铄"</f>
        <v>周铄</v>
      </c>
      <c r="E1429" s="6" t="str">
        <f>"男"</f>
        <v>男</v>
      </c>
    </row>
    <row r="1430" spans="1:5" ht="30" customHeight="1">
      <c r="A1430" s="6">
        <v>1428</v>
      </c>
      <c r="B1430" s="6" t="str">
        <f>"299420210527092741108924"</f>
        <v>299420210527092741108924</v>
      </c>
      <c r="C1430" s="6" t="s">
        <v>552</v>
      </c>
      <c r="D1430" s="6" t="str">
        <f>"刘小坤"</f>
        <v>刘小坤</v>
      </c>
      <c r="E1430" s="6" t="str">
        <f aca="true" t="shared" si="40" ref="E1430:E1446">"女"</f>
        <v>女</v>
      </c>
    </row>
    <row r="1431" spans="1:5" ht="30" customHeight="1">
      <c r="A1431" s="6">
        <v>1429</v>
      </c>
      <c r="B1431" s="6" t="str">
        <f>"299420210527093158108936"</f>
        <v>299420210527093158108936</v>
      </c>
      <c r="C1431" s="6" t="s">
        <v>552</v>
      </c>
      <c r="D1431" s="6" t="str">
        <f>"王延"</f>
        <v>王延</v>
      </c>
      <c r="E1431" s="6" t="str">
        <f t="shared" si="40"/>
        <v>女</v>
      </c>
    </row>
    <row r="1432" spans="1:5" ht="30" customHeight="1">
      <c r="A1432" s="6">
        <v>1430</v>
      </c>
      <c r="B1432" s="6" t="str">
        <f>"299420210527093913108950"</f>
        <v>299420210527093913108950</v>
      </c>
      <c r="C1432" s="6" t="s">
        <v>552</v>
      </c>
      <c r="D1432" s="6" t="str">
        <f>"李宛泽"</f>
        <v>李宛泽</v>
      </c>
      <c r="E1432" s="6" t="str">
        <f t="shared" si="40"/>
        <v>女</v>
      </c>
    </row>
    <row r="1433" spans="1:5" ht="30" customHeight="1">
      <c r="A1433" s="6">
        <v>1431</v>
      </c>
      <c r="B1433" s="6" t="str">
        <f>"299420210527094341108954"</f>
        <v>299420210527094341108954</v>
      </c>
      <c r="C1433" s="6" t="s">
        <v>552</v>
      </c>
      <c r="D1433" s="6" t="str">
        <f>"肖咪"</f>
        <v>肖咪</v>
      </c>
      <c r="E1433" s="6" t="str">
        <f t="shared" si="40"/>
        <v>女</v>
      </c>
    </row>
    <row r="1434" spans="1:5" ht="30" customHeight="1">
      <c r="A1434" s="6">
        <v>1432</v>
      </c>
      <c r="B1434" s="6" t="str">
        <f>"299420210527094731108961"</f>
        <v>299420210527094731108961</v>
      </c>
      <c r="C1434" s="6" t="s">
        <v>552</v>
      </c>
      <c r="D1434" s="6" t="str">
        <f>"邓一林"</f>
        <v>邓一林</v>
      </c>
      <c r="E1434" s="6" t="str">
        <f t="shared" si="40"/>
        <v>女</v>
      </c>
    </row>
    <row r="1435" spans="1:5" ht="30" customHeight="1">
      <c r="A1435" s="6">
        <v>1433</v>
      </c>
      <c r="B1435" s="6" t="str">
        <f>"299420210527095228108967"</f>
        <v>299420210527095228108967</v>
      </c>
      <c r="C1435" s="6" t="s">
        <v>552</v>
      </c>
      <c r="D1435" s="6" t="str">
        <f>"何天娇"</f>
        <v>何天娇</v>
      </c>
      <c r="E1435" s="6" t="str">
        <f t="shared" si="40"/>
        <v>女</v>
      </c>
    </row>
    <row r="1436" spans="1:5" ht="30" customHeight="1">
      <c r="A1436" s="6">
        <v>1434</v>
      </c>
      <c r="B1436" s="6" t="str">
        <f>"299420210527100029108984"</f>
        <v>299420210527100029108984</v>
      </c>
      <c r="C1436" s="6" t="s">
        <v>552</v>
      </c>
      <c r="D1436" s="6" t="str">
        <f>"林高茹"</f>
        <v>林高茹</v>
      </c>
      <c r="E1436" s="6" t="str">
        <f t="shared" si="40"/>
        <v>女</v>
      </c>
    </row>
    <row r="1437" spans="1:5" ht="30" customHeight="1">
      <c r="A1437" s="6">
        <v>1435</v>
      </c>
      <c r="B1437" s="6" t="str">
        <f>"299420210527101211109015"</f>
        <v>299420210527101211109015</v>
      </c>
      <c r="C1437" s="6" t="s">
        <v>552</v>
      </c>
      <c r="D1437" s="6" t="str">
        <f>"黎萌萌"</f>
        <v>黎萌萌</v>
      </c>
      <c r="E1437" s="6" t="str">
        <f t="shared" si="40"/>
        <v>女</v>
      </c>
    </row>
    <row r="1438" spans="1:5" ht="30" customHeight="1">
      <c r="A1438" s="6">
        <v>1436</v>
      </c>
      <c r="B1438" s="6" t="str">
        <f>"299420210527101358109017"</f>
        <v>299420210527101358109017</v>
      </c>
      <c r="C1438" s="6" t="s">
        <v>552</v>
      </c>
      <c r="D1438" s="6" t="str">
        <f>"冼淑云"</f>
        <v>冼淑云</v>
      </c>
      <c r="E1438" s="6" t="str">
        <f t="shared" si="40"/>
        <v>女</v>
      </c>
    </row>
    <row r="1439" spans="1:5" ht="30" customHeight="1">
      <c r="A1439" s="6">
        <v>1437</v>
      </c>
      <c r="B1439" s="6" t="str">
        <f>"299420210527101420109022"</f>
        <v>299420210527101420109022</v>
      </c>
      <c r="C1439" s="6" t="s">
        <v>552</v>
      </c>
      <c r="D1439" s="6" t="str">
        <f>"陈雨欣"</f>
        <v>陈雨欣</v>
      </c>
      <c r="E1439" s="6" t="str">
        <f t="shared" si="40"/>
        <v>女</v>
      </c>
    </row>
    <row r="1440" spans="1:5" ht="30" customHeight="1">
      <c r="A1440" s="6">
        <v>1438</v>
      </c>
      <c r="B1440" s="6" t="str">
        <f>"299420210527101623109028"</f>
        <v>299420210527101623109028</v>
      </c>
      <c r="C1440" s="6" t="s">
        <v>552</v>
      </c>
      <c r="D1440" s="6" t="str">
        <f>"邢云淋"</f>
        <v>邢云淋</v>
      </c>
      <c r="E1440" s="6" t="str">
        <f t="shared" si="40"/>
        <v>女</v>
      </c>
    </row>
    <row r="1441" spans="1:5" ht="30" customHeight="1">
      <c r="A1441" s="6">
        <v>1439</v>
      </c>
      <c r="B1441" s="6" t="str">
        <f>"299420210527101734109031"</f>
        <v>299420210527101734109031</v>
      </c>
      <c r="C1441" s="6" t="s">
        <v>552</v>
      </c>
      <c r="D1441" s="6" t="str">
        <f>"周舟"</f>
        <v>周舟</v>
      </c>
      <c r="E1441" s="6" t="str">
        <f t="shared" si="40"/>
        <v>女</v>
      </c>
    </row>
    <row r="1442" spans="1:5" ht="30" customHeight="1">
      <c r="A1442" s="6">
        <v>1440</v>
      </c>
      <c r="B1442" s="6" t="str">
        <f>"299420210527103022109055"</f>
        <v>299420210527103022109055</v>
      </c>
      <c r="C1442" s="6" t="s">
        <v>552</v>
      </c>
      <c r="D1442" s="6" t="str">
        <f>"钟金姐"</f>
        <v>钟金姐</v>
      </c>
      <c r="E1442" s="6" t="str">
        <f t="shared" si="40"/>
        <v>女</v>
      </c>
    </row>
    <row r="1443" spans="1:5" ht="30" customHeight="1">
      <c r="A1443" s="6">
        <v>1441</v>
      </c>
      <c r="B1443" s="6" t="str">
        <f>"299420210527104550109078"</f>
        <v>299420210527104550109078</v>
      </c>
      <c r="C1443" s="6" t="s">
        <v>552</v>
      </c>
      <c r="D1443" s="6" t="str">
        <f>"王晓菊"</f>
        <v>王晓菊</v>
      </c>
      <c r="E1443" s="6" t="str">
        <f t="shared" si="40"/>
        <v>女</v>
      </c>
    </row>
    <row r="1444" spans="1:5" ht="30" customHeight="1">
      <c r="A1444" s="6">
        <v>1442</v>
      </c>
      <c r="B1444" s="6" t="str">
        <f>"299420210527110502109120"</f>
        <v>299420210527110502109120</v>
      </c>
      <c r="C1444" s="6" t="s">
        <v>552</v>
      </c>
      <c r="D1444" s="6" t="str">
        <f>"陈云娜"</f>
        <v>陈云娜</v>
      </c>
      <c r="E1444" s="6" t="str">
        <f t="shared" si="40"/>
        <v>女</v>
      </c>
    </row>
    <row r="1445" spans="1:5" ht="30" customHeight="1">
      <c r="A1445" s="6">
        <v>1443</v>
      </c>
      <c r="B1445" s="6" t="str">
        <f>"299420210527111238109131"</f>
        <v>299420210527111238109131</v>
      </c>
      <c r="C1445" s="6" t="s">
        <v>552</v>
      </c>
      <c r="D1445" s="6" t="str">
        <f>"简仙蕾"</f>
        <v>简仙蕾</v>
      </c>
      <c r="E1445" s="6" t="str">
        <f t="shared" si="40"/>
        <v>女</v>
      </c>
    </row>
    <row r="1446" spans="1:5" ht="30" customHeight="1">
      <c r="A1446" s="6">
        <v>1444</v>
      </c>
      <c r="B1446" s="6" t="str">
        <f>"299420210527111454109135"</f>
        <v>299420210527111454109135</v>
      </c>
      <c r="C1446" s="6" t="s">
        <v>552</v>
      </c>
      <c r="D1446" s="6" t="str">
        <f>"兰曼"</f>
        <v>兰曼</v>
      </c>
      <c r="E1446" s="6" t="str">
        <f t="shared" si="40"/>
        <v>女</v>
      </c>
    </row>
    <row r="1447" spans="1:5" ht="30" customHeight="1">
      <c r="A1447" s="6">
        <v>1445</v>
      </c>
      <c r="B1447" s="6" t="str">
        <f>"299420210527111854109140"</f>
        <v>299420210527111854109140</v>
      </c>
      <c r="C1447" s="6" t="s">
        <v>552</v>
      </c>
      <c r="D1447" s="6" t="str">
        <f>"符策飞"</f>
        <v>符策飞</v>
      </c>
      <c r="E1447" s="6" t="str">
        <f>"男"</f>
        <v>男</v>
      </c>
    </row>
    <row r="1448" spans="1:5" ht="30" customHeight="1">
      <c r="A1448" s="6">
        <v>1446</v>
      </c>
      <c r="B1448" s="6" t="str">
        <f>"299420210527111939109141"</f>
        <v>299420210527111939109141</v>
      </c>
      <c r="C1448" s="6" t="s">
        <v>552</v>
      </c>
      <c r="D1448" s="6" t="str">
        <f>"李爱蓉"</f>
        <v>李爱蓉</v>
      </c>
      <c r="E1448" s="6" t="str">
        <f aca="true" t="shared" si="41" ref="E1448:E1471">"女"</f>
        <v>女</v>
      </c>
    </row>
    <row r="1449" spans="1:5" ht="30" customHeight="1">
      <c r="A1449" s="6">
        <v>1447</v>
      </c>
      <c r="B1449" s="6" t="str">
        <f>"299420210527112112109146"</f>
        <v>299420210527112112109146</v>
      </c>
      <c r="C1449" s="6" t="s">
        <v>552</v>
      </c>
      <c r="D1449" s="6" t="str">
        <f>"陈少云"</f>
        <v>陈少云</v>
      </c>
      <c r="E1449" s="6" t="str">
        <f t="shared" si="41"/>
        <v>女</v>
      </c>
    </row>
    <row r="1450" spans="1:5" ht="30" customHeight="1">
      <c r="A1450" s="6">
        <v>1448</v>
      </c>
      <c r="B1450" s="6" t="str">
        <f>"299420210527112640109158"</f>
        <v>299420210527112640109158</v>
      </c>
      <c r="C1450" s="6" t="s">
        <v>552</v>
      </c>
      <c r="D1450" s="6" t="str">
        <f>"张涵雅"</f>
        <v>张涵雅</v>
      </c>
      <c r="E1450" s="6" t="str">
        <f t="shared" si="41"/>
        <v>女</v>
      </c>
    </row>
    <row r="1451" spans="1:5" ht="30" customHeight="1">
      <c r="A1451" s="6">
        <v>1449</v>
      </c>
      <c r="B1451" s="6" t="str">
        <f>"299420210527113429109165"</f>
        <v>299420210527113429109165</v>
      </c>
      <c r="C1451" s="6" t="s">
        <v>552</v>
      </c>
      <c r="D1451" s="6" t="str">
        <f>"殷钟惠"</f>
        <v>殷钟惠</v>
      </c>
      <c r="E1451" s="6" t="str">
        <f t="shared" si="41"/>
        <v>女</v>
      </c>
    </row>
    <row r="1452" spans="1:5" ht="30" customHeight="1">
      <c r="A1452" s="6">
        <v>1450</v>
      </c>
      <c r="B1452" s="6" t="str">
        <f>"299420210527113608109169"</f>
        <v>299420210527113608109169</v>
      </c>
      <c r="C1452" s="6" t="s">
        <v>552</v>
      </c>
      <c r="D1452" s="6" t="str">
        <f>"周玲选"</f>
        <v>周玲选</v>
      </c>
      <c r="E1452" s="6" t="str">
        <f t="shared" si="41"/>
        <v>女</v>
      </c>
    </row>
    <row r="1453" spans="1:5" ht="30" customHeight="1">
      <c r="A1453" s="6">
        <v>1451</v>
      </c>
      <c r="B1453" s="6" t="str">
        <f>"299420210527115724109194"</f>
        <v>299420210527115724109194</v>
      </c>
      <c r="C1453" s="6" t="s">
        <v>552</v>
      </c>
      <c r="D1453" s="6" t="str">
        <f>"王敏"</f>
        <v>王敏</v>
      </c>
      <c r="E1453" s="6" t="str">
        <f t="shared" si="41"/>
        <v>女</v>
      </c>
    </row>
    <row r="1454" spans="1:5" ht="30" customHeight="1">
      <c r="A1454" s="6">
        <v>1452</v>
      </c>
      <c r="B1454" s="6" t="str">
        <f>"299420210527122758109223"</f>
        <v>299420210527122758109223</v>
      </c>
      <c r="C1454" s="6" t="s">
        <v>552</v>
      </c>
      <c r="D1454" s="6" t="str">
        <f>"邱玉莹"</f>
        <v>邱玉莹</v>
      </c>
      <c r="E1454" s="6" t="str">
        <f t="shared" si="41"/>
        <v>女</v>
      </c>
    </row>
    <row r="1455" spans="1:5" ht="30" customHeight="1">
      <c r="A1455" s="6">
        <v>1453</v>
      </c>
      <c r="B1455" s="6" t="str">
        <f>"299420210527123721109243"</f>
        <v>299420210527123721109243</v>
      </c>
      <c r="C1455" s="6" t="s">
        <v>552</v>
      </c>
      <c r="D1455" s="6" t="str">
        <f>"李巍"</f>
        <v>李巍</v>
      </c>
      <c r="E1455" s="6" t="str">
        <f t="shared" si="41"/>
        <v>女</v>
      </c>
    </row>
    <row r="1456" spans="1:5" ht="30" customHeight="1">
      <c r="A1456" s="6">
        <v>1454</v>
      </c>
      <c r="B1456" s="6" t="str">
        <f>"299420210527123750109244"</f>
        <v>299420210527123750109244</v>
      </c>
      <c r="C1456" s="6" t="s">
        <v>552</v>
      </c>
      <c r="D1456" s="6" t="str">
        <f>"梁爱悦"</f>
        <v>梁爱悦</v>
      </c>
      <c r="E1456" s="6" t="str">
        <f t="shared" si="41"/>
        <v>女</v>
      </c>
    </row>
    <row r="1457" spans="1:5" ht="30" customHeight="1">
      <c r="A1457" s="6">
        <v>1455</v>
      </c>
      <c r="B1457" s="6" t="str">
        <f>"299420210527123831109246"</f>
        <v>299420210527123831109246</v>
      </c>
      <c r="C1457" s="6" t="s">
        <v>552</v>
      </c>
      <c r="D1457" s="6" t="str">
        <f>"林艳丽"</f>
        <v>林艳丽</v>
      </c>
      <c r="E1457" s="6" t="str">
        <f t="shared" si="41"/>
        <v>女</v>
      </c>
    </row>
    <row r="1458" spans="1:5" ht="30" customHeight="1">
      <c r="A1458" s="6">
        <v>1456</v>
      </c>
      <c r="B1458" s="6" t="str">
        <f>"299420210527124206109254"</f>
        <v>299420210527124206109254</v>
      </c>
      <c r="C1458" s="6" t="s">
        <v>552</v>
      </c>
      <c r="D1458" s="6" t="str">
        <f>"徐弯弯"</f>
        <v>徐弯弯</v>
      </c>
      <c r="E1458" s="6" t="str">
        <f t="shared" si="41"/>
        <v>女</v>
      </c>
    </row>
    <row r="1459" spans="1:5" ht="30" customHeight="1">
      <c r="A1459" s="6">
        <v>1457</v>
      </c>
      <c r="B1459" s="6" t="str">
        <f>"299420210527124924109261"</f>
        <v>299420210527124924109261</v>
      </c>
      <c r="C1459" s="6" t="s">
        <v>552</v>
      </c>
      <c r="D1459" s="6" t="str">
        <f>"陈雨"</f>
        <v>陈雨</v>
      </c>
      <c r="E1459" s="6" t="str">
        <f t="shared" si="41"/>
        <v>女</v>
      </c>
    </row>
    <row r="1460" spans="1:5" ht="30" customHeight="1">
      <c r="A1460" s="6">
        <v>1458</v>
      </c>
      <c r="B1460" s="6" t="str">
        <f>"299420210527125831109275"</f>
        <v>299420210527125831109275</v>
      </c>
      <c r="C1460" s="6" t="s">
        <v>552</v>
      </c>
      <c r="D1460" s="6" t="str">
        <f>"陈颖"</f>
        <v>陈颖</v>
      </c>
      <c r="E1460" s="6" t="str">
        <f t="shared" si="41"/>
        <v>女</v>
      </c>
    </row>
    <row r="1461" spans="1:5" ht="30" customHeight="1">
      <c r="A1461" s="6">
        <v>1459</v>
      </c>
      <c r="B1461" s="6" t="str">
        <f>"299420210527130144109281"</f>
        <v>299420210527130144109281</v>
      </c>
      <c r="C1461" s="6" t="s">
        <v>552</v>
      </c>
      <c r="D1461" s="6" t="str">
        <f>"蒋小介"</f>
        <v>蒋小介</v>
      </c>
      <c r="E1461" s="6" t="str">
        <f t="shared" si="41"/>
        <v>女</v>
      </c>
    </row>
    <row r="1462" spans="1:5" ht="30" customHeight="1">
      <c r="A1462" s="6">
        <v>1460</v>
      </c>
      <c r="B1462" s="6" t="str">
        <f>"299420210527130855109290"</f>
        <v>299420210527130855109290</v>
      </c>
      <c r="C1462" s="6" t="s">
        <v>552</v>
      </c>
      <c r="D1462" s="6" t="str">
        <f>"殷淼"</f>
        <v>殷淼</v>
      </c>
      <c r="E1462" s="6" t="str">
        <f t="shared" si="41"/>
        <v>女</v>
      </c>
    </row>
    <row r="1463" spans="1:5" ht="30" customHeight="1">
      <c r="A1463" s="6">
        <v>1461</v>
      </c>
      <c r="B1463" s="6" t="str">
        <f>"299420210527132637109307"</f>
        <v>299420210527132637109307</v>
      </c>
      <c r="C1463" s="6" t="s">
        <v>552</v>
      </c>
      <c r="D1463" s="6" t="str">
        <f>"陈阳姑"</f>
        <v>陈阳姑</v>
      </c>
      <c r="E1463" s="6" t="str">
        <f t="shared" si="41"/>
        <v>女</v>
      </c>
    </row>
    <row r="1464" spans="1:5" ht="30" customHeight="1">
      <c r="A1464" s="6">
        <v>1462</v>
      </c>
      <c r="B1464" s="6" t="str">
        <f>"299420210527135025109330"</f>
        <v>299420210527135025109330</v>
      </c>
      <c r="C1464" s="6" t="s">
        <v>552</v>
      </c>
      <c r="D1464" s="6" t="str">
        <f>"林芳珍"</f>
        <v>林芳珍</v>
      </c>
      <c r="E1464" s="6" t="str">
        <f t="shared" si="41"/>
        <v>女</v>
      </c>
    </row>
    <row r="1465" spans="1:5" ht="30" customHeight="1">
      <c r="A1465" s="6">
        <v>1463</v>
      </c>
      <c r="B1465" s="6" t="str">
        <f>"299420210527141801109356"</f>
        <v>299420210527141801109356</v>
      </c>
      <c r="C1465" s="6" t="s">
        <v>552</v>
      </c>
      <c r="D1465" s="6" t="str">
        <f>"侯王晓"</f>
        <v>侯王晓</v>
      </c>
      <c r="E1465" s="6" t="str">
        <f t="shared" si="41"/>
        <v>女</v>
      </c>
    </row>
    <row r="1466" spans="1:5" ht="30" customHeight="1">
      <c r="A1466" s="6">
        <v>1464</v>
      </c>
      <c r="B1466" s="6" t="str">
        <f>"299420210527143210109362"</f>
        <v>299420210527143210109362</v>
      </c>
      <c r="C1466" s="6" t="s">
        <v>552</v>
      </c>
      <c r="D1466" s="6" t="str">
        <f>"徐梦佳"</f>
        <v>徐梦佳</v>
      </c>
      <c r="E1466" s="6" t="str">
        <f t="shared" si="41"/>
        <v>女</v>
      </c>
    </row>
    <row r="1467" spans="1:5" ht="30" customHeight="1">
      <c r="A1467" s="6">
        <v>1465</v>
      </c>
      <c r="B1467" s="6" t="str">
        <f>"299420210527144012109377"</f>
        <v>299420210527144012109377</v>
      </c>
      <c r="C1467" s="6" t="s">
        <v>552</v>
      </c>
      <c r="D1467" s="6" t="str">
        <f>"郑婷婷"</f>
        <v>郑婷婷</v>
      </c>
      <c r="E1467" s="6" t="str">
        <f t="shared" si="41"/>
        <v>女</v>
      </c>
    </row>
    <row r="1468" spans="1:5" ht="30" customHeight="1">
      <c r="A1468" s="6">
        <v>1466</v>
      </c>
      <c r="B1468" s="6" t="str">
        <f>"299420210527144105109379"</f>
        <v>299420210527144105109379</v>
      </c>
      <c r="C1468" s="6" t="s">
        <v>552</v>
      </c>
      <c r="D1468" s="6" t="str">
        <f>"王丽金"</f>
        <v>王丽金</v>
      </c>
      <c r="E1468" s="6" t="str">
        <f t="shared" si="41"/>
        <v>女</v>
      </c>
    </row>
    <row r="1469" spans="1:5" ht="30" customHeight="1">
      <c r="A1469" s="6">
        <v>1467</v>
      </c>
      <c r="B1469" s="6" t="str">
        <f>"299420210527144121109380"</f>
        <v>299420210527144121109380</v>
      </c>
      <c r="C1469" s="6" t="s">
        <v>552</v>
      </c>
      <c r="D1469" s="6" t="str">
        <f>"陈雪"</f>
        <v>陈雪</v>
      </c>
      <c r="E1469" s="6" t="str">
        <f t="shared" si="41"/>
        <v>女</v>
      </c>
    </row>
    <row r="1470" spans="1:5" ht="30" customHeight="1">
      <c r="A1470" s="6">
        <v>1468</v>
      </c>
      <c r="B1470" s="6" t="str">
        <f>"299420210527145346109397"</f>
        <v>299420210527145346109397</v>
      </c>
      <c r="C1470" s="6" t="s">
        <v>552</v>
      </c>
      <c r="D1470" s="6" t="str">
        <f>"曹妙"</f>
        <v>曹妙</v>
      </c>
      <c r="E1470" s="6" t="str">
        <f t="shared" si="41"/>
        <v>女</v>
      </c>
    </row>
    <row r="1471" spans="1:5" ht="30" customHeight="1">
      <c r="A1471" s="6">
        <v>1469</v>
      </c>
      <c r="B1471" s="6" t="str">
        <f>"299420210527145531109398"</f>
        <v>299420210527145531109398</v>
      </c>
      <c r="C1471" s="6" t="s">
        <v>552</v>
      </c>
      <c r="D1471" s="6" t="str">
        <f>"陈丽晶"</f>
        <v>陈丽晶</v>
      </c>
      <c r="E1471" s="6" t="str">
        <f t="shared" si="41"/>
        <v>女</v>
      </c>
    </row>
    <row r="1472" spans="1:5" ht="30" customHeight="1">
      <c r="A1472" s="6">
        <v>1470</v>
      </c>
      <c r="B1472" s="6" t="str">
        <f>"299420210527145610109399"</f>
        <v>299420210527145610109399</v>
      </c>
      <c r="C1472" s="6" t="s">
        <v>552</v>
      </c>
      <c r="D1472" s="6" t="str">
        <f>"符乃仁"</f>
        <v>符乃仁</v>
      </c>
      <c r="E1472" s="6" t="str">
        <f>"男"</f>
        <v>男</v>
      </c>
    </row>
    <row r="1473" spans="1:5" ht="30" customHeight="1">
      <c r="A1473" s="6">
        <v>1471</v>
      </c>
      <c r="B1473" s="6" t="str">
        <f>"299420210527150035109404"</f>
        <v>299420210527150035109404</v>
      </c>
      <c r="C1473" s="6" t="s">
        <v>552</v>
      </c>
      <c r="D1473" s="6" t="str">
        <f>"王妍人"</f>
        <v>王妍人</v>
      </c>
      <c r="E1473" s="6" t="str">
        <f>"女"</f>
        <v>女</v>
      </c>
    </row>
    <row r="1474" spans="1:5" ht="30" customHeight="1">
      <c r="A1474" s="6">
        <v>1472</v>
      </c>
      <c r="B1474" s="6" t="str">
        <f>"299420210527150400109409"</f>
        <v>299420210527150400109409</v>
      </c>
      <c r="C1474" s="6" t="s">
        <v>552</v>
      </c>
      <c r="D1474" s="6" t="str">
        <f>"何妮"</f>
        <v>何妮</v>
      </c>
      <c r="E1474" s="6" t="str">
        <f>"女"</f>
        <v>女</v>
      </c>
    </row>
    <row r="1475" spans="1:5" ht="30" customHeight="1">
      <c r="A1475" s="6">
        <v>1473</v>
      </c>
      <c r="B1475" s="6" t="str">
        <f>"299420210527151049109419"</f>
        <v>299420210527151049109419</v>
      </c>
      <c r="C1475" s="6" t="s">
        <v>552</v>
      </c>
      <c r="D1475" s="6" t="str">
        <f>"卢定婉"</f>
        <v>卢定婉</v>
      </c>
      <c r="E1475" s="6" t="str">
        <f>"女"</f>
        <v>女</v>
      </c>
    </row>
    <row r="1476" spans="1:5" ht="30" customHeight="1">
      <c r="A1476" s="6">
        <v>1474</v>
      </c>
      <c r="B1476" s="6" t="str">
        <f>"299420210527151417109424"</f>
        <v>299420210527151417109424</v>
      </c>
      <c r="C1476" s="6" t="s">
        <v>552</v>
      </c>
      <c r="D1476" s="6" t="str">
        <f>"赵文立"</f>
        <v>赵文立</v>
      </c>
      <c r="E1476" s="6" t="str">
        <f>"男"</f>
        <v>男</v>
      </c>
    </row>
    <row r="1477" spans="1:5" ht="30" customHeight="1">
      <c r="A1477" s="6">
        <v>1475</v>
      </c>
      <c r="B1477" s="6" t="str">
        <f>"299420210527151443109425"</f>
        <v>299420210527151443109425</v>
      </c>
      <c r="C1477" s="6" t="s">
        <v>552</v>
      </c>
      <c r="D1477" s="6" t="str">
        <f>"施微"</f>
        <v>施微</v>
      </c>
      <c r="E1477" s="6" t="str">
        <f aca="true" t="shared" si="42" ref="E1477:E1508">"女"</f>
        <v>女</v>
      </c>
    </row>
    <row r="1478" spans="1:5" ht="30" customHeight="1">
      <c r="A1478" s="6">
        <v>1476</v>
      </c>
      <c r="B1478" s="6" t="str">
        <f>"299420210527152151109436"</f>
        <v>299420210527152151109436</v>
      </c>
      <c r="C1478" s="6" t="s">
        <v>552</v>
      </c>
      <c r="D1478" s="6" t="str">
        <f>"林娇慧"</f>
        <v>林娇慧</v>
      </c>
      <c r="E1478" s="6" t="str">
        <f t="shared" si="42"/>
        <v>女</v>
      </c>
    </row>
    <row r="1479" spans="1:5" ht="30" customHeight="1">
      <c r="A1479" s="6">
        <v>1477</v>
      </c>
      <c r="B1479" s="6" t="str">
        <f>"299420210527152156109437"</f>
        <v>299420210527152156109437</v>
      </c>
      <c r="C1479" s="6" t="s">
        <v>552</v>
      </c>
      <c r="D1479" s="6" t="str">
        <f>"林羚"</f>
        <v>林羚</v>
      </c>
      <c r="E1479" s="6" t="str">
        <f t="shared" si="42"/>
        <v>女</v>
      </c>
    </row>
    <row r="1480" spans="1:5" ht="30" customHeight="1">
      <c r="A1480" s="6">
        <v>1478</v>
      </c>
      <c r="B1480" s="6" t="str">
        <f>"299420210527152527109443"</f>
        <v>299420210527152527109443</v>
      </c>
      <c r="C1480" s="6" t="s">
        <v>552</v>
      </c>
      <c r="D1480" s="6" t="str">
        <f>"羊彩虹"</f>
        <v>羊彩虹</v>
      </c>
      <c r="E1480" s="6" t="str">
        <f t="shared" si="42"/>
        <v>女</v>
      </c>
    </row>
    <row r="1481" spans="1:5" ht="30" customHeight="1">
      <c r="A1481" s="6">
        <v>1479</v>
      </c>
      <c r="B1481" s="6" t="str">
        <f>"299420210527152704109446"</f>
        <v>299420210527152704109446</v>
      </c>
      <c r="C1481" s="6" t="s">
        <v>552</v>
      </c>
      <c r="D1481" s="6" t="str">
        <f>"张小蔓"</f>
        <v>张小蔓</v>
      </c>
      <c r="E1481" s="6" t="str">
        <f t="shared" si="42"/>
        <v>女</v>
      </c>
    </row>
    <row r="1482" spans="1:5" ht="30" customHeight="1">
      <c r="A1482" s="6">
        <v>1480</v>
      </c>
      <c r="B1482" s="6" t="str">
        <f>"299420210527152941109452"</f>
        <v>299420210527152941109452</v>
      </c>
      <c r="C1482" s="6" t="s">
        <v>552</v>
      </c>
      <c r="D1482" s="6" t="str">
        <f>"张爱玲"</f>
        <v>张爱玲</v>
      </c>
      <c r="E1482" s="6" t="str">
        <f t="shared" si="42"/>
        <v>女</v>
      </c>
    </row>
    <row r="1483" spans="1:5" ht="30" customHeight="1">
      <c r="A1483" s="6">
        <v>1481</v>
      </c>
      <c r="B1483" s="6" t="str">
        <f>"299420210527153400109460"</f>
        <v>299420210527153400109460</v>
      </c>
      <c r="C1483" s="6" t="s">
        <v>552</v>
      </c>
      <c r="D1483" s="6" t="str">
        <f>"陈芳香"</f>
        <v>陈芳香</v>
      </c>
      <c r="E1483" s="6" t="str">
        <f t="shared" si="42"/>
        <v>女</v>
      </c>
    </row>
    <row r="1484" spans="1:5" ht="30" customHeight="1">
      <c r="A1484" s="6">
        <v>1482</v>
      </c>
      <c r="B1484" s="6" t="str">
        <f>"299420210527153500109462"</f>
        <v>299420210527153500109462</v>
      </c>
      <c r="C1484" s="6" t="s">
        <v>552</v>
      </c>
      <c r="D1484" s="6" t="str">
        <f>"苏珊"</f>
        <v>苏珊</v>
      </c>
      <c r="E1484" s="6" t="str">
        <f t="shared" si="42"/>
        <v>女</v>
      </c>
    </row>
    <row r="1485" spans="1:5" ht="30" customHeight="1">
      <c r="A1485" s="6">
        <v>1483</v>
      </c>
      <c r="B1485" s="6" t="str">
        <f>"299420210527154655109487"</f>
        <v>299420210527154655109487</v>
      </c>
      <c r="C1485" s="6" t="s">
        <v>552</v>
      </c>
      <c r="D1485" s="6" t="str">
        <f>"陈秀妃"</f>
        <v>陈秀妃</v>
      </c>
      <c r="E1485" s="6" t="str">
        <f t="shared" si="42"/>
        <v>女</v>
      </c>
    </row>
    <row r="1486" spans="1:5" ht="30" customHeight="1">
      <c r="A1486" s="6">
        <v>1484</v>
      </c>
      <c r="B1486" s="6" t="str">
        <f>"299420210527154858109490"</f>
        <v>299420210527154858109490</v>
      </c>
      <c r="C1486" s="6" t="s">
        <v>552</v>
      </c>
      <c r="D1486" s="6" t="str">
        <f>"马晓欣"</f>
        <v>马晓欣</v>
      </c>
      <c r="E1486" s="6" t="str">
        <f t="shared" si="42"/>
        <v>女</v>
      </c>
    </row>
    <row r="1487" spans="1:5" ht="30" customHeight="1">
      <c r="A1487" s="6">
        <v>1485</v>
      </c>
      <c r="B1487" s="6" t="str">
        <f>"299420210527155539109507"</f>
        <v>299420210527155539109507</v>
      </c>
      <c r="C1487" s="6" t="s">
        <v>552</v>
      </c>
      <c r="D1487" s="6" t="str">
        <f>"林珊"</f>
        <v>林珊</v>
      </c>
      <c r="E1487" s="6" t="str">
        <f t="shared" si="42"/>
        <v>女</v>
      </c>
    </row>
    <row r="1488" spans="1:5" ht="30" customHeight="1">
      <c r="A1488" s="6">
        <v>1486</v>
      </c>
      <c r="B1488" s="6" t="str">
        <f>"299420210527160518109525"</f>
        <v>299420210527160518109525</v>
      </c>
      <c r="C1488" s="6" t="s">
        <v>552</v>
      </c>
      <c r="D1488" s="6" t="str">
        <f>"卢静"</f>
        <v>卢静</v>
      </c>
      <c r="E1488" s="6" t="str">
        <f t="shared" si="42"/>
        <v>女</v>
      </c>
    </row>
    <row r="1489" spans="1:5" ht="30" customHeight="1">
      <c r="A1489" s="6">
        <v>1487</v>
      </c>
      <c r="B1489" s="6" t="str">
        <f>"299420210527160744109530"</f>
        <v>299420210527160744109530</v>
      </c>
      <c r="C1489" s="6" t="s">
        <v>552</v>
      </c>
      <c r="D1489" s="6" t="str">
        <f>"苏秋梅"</f>
        <v>苏秋梅</v>
      </c>
      <c r="E1489" s="6" t="str">
        <f t="shared" si="42"/>
        <v>女</v>
      </c>
    </row>
    <row r="1490" spans="1:5" ht="30" customHeight="1">
      <c r="A1490" s="6">
        <v>1488</v>
      </c>
      <c r="B1490" s="6" t="str">
        <f>"299420210527160828109532"</f>
        <v>299420210527160828109532</v>
      </c>
      <c r="C1490" s="6" t="s">
        <v>552</v>
      </c>
      <c r="D1490" s="6" t="str">
        <f>"梁诗婷"</f>
        <v>梁诗婷</v>
      </c>
      <c r="E1490" s="6" t="str">
        <f t="shared" si="42"/>
        <v>女</v>
      </c>
    </row>
    <row r="1491" spans="1:5" ht="30" customHeight="1">
      <c r="A1491" s="6">
        <v>1489</v>
      </c>
      <c r="B1491" s="6" t="str">
        <f>"299420210527161348109542"</f>
        <v>299420210527161348109542</v>
      </c>
      <c r="C1491" s="6" t="s">
        <v>552</v>
      </c>
      <c r="D1491" s="6" t="str">
        <f>"李紫媛"</f>
        <v>李紫媛</v>
      </c>
      <c r="E1491" s="6" t="str">
        <f t="shared" si="42"/>
        <v>女</v>
      </c>
    </row>
    <row r="1492" spans="1:5" ht="30" customHeight="1">
      <c r="A1492" s="6">
        <v>1490</v>
      </c>
      <c r="B1492" s="6" t="str">
        <f>"299420210527161708109547"</f>
        <v>299420210527161708109547</v>
      </c>
      <c r="C1492" s="6" t="s">
        <v>552</v>
      </c>
      <c r="D1492" s="6" t="str">
        <f>"江萍"</f>
        <v>江萍</v>
      </c>
      <c r="E1492" s="6" t="str">
        <f t="shared" si="42"/>
        <v>女</v>
      </c>
    </row>
    <row r="1493" spans="1:5" ht="30" customHeight="1">
      <c r="A1493" s="6">
        <v>1491</v>
      </c>
      <c r="B1493" s="6" t="str">
        <f>"299420210527161948109549"</f>
        <v>299420210527161948109549</v>
      </c>
      <c r="C1493" s="6" t="s">
        <v>552</v>
      </c>
      <c r="D1493" s="6" t="str">
        <f>"叶紫佳"</f>
        <v>叶紫佳</v>
      </c>
      <c r="E1493" s="6" t="str">
        <f t="shared" si="42"/>
        <v>女</v>
      </c>
    </row>
    <row r="1494" spans="1:5" ht="30" customHeight="1">
      <c r="A1494" s="6">
        <v>1492</v>
      </c>
      <c r="B1494" s="6" t="str">
        <f>"299420210527162726109565"</f>
        <v>299420210527162726109565</v>
      </c>
      <c r="C1494" s="6" t="s">
        <v>552</v>
      </c>
      <c r="D1494" s="6" t="str">
        <f>"陈嘉敏"</f>
        <v>陈嘉敏</v>
      </c>
      <c r="E1494" s="6" t="str">
        <f t="shared" si="42"/>
        <v>女</v>
      </c>
    </row>
    <row r="1495" spans="1:5" ht="30" customHeight="1">
      <c r="A1495" s="6">
        <v>1493</v>
      </c>
      <c r="B1495" s="6" t="str">
        <f>"299420210527162837109568"</f>
        <v>299420210527162837109568</v>
      </c>
      <c r="C1495" s="6" t="s">
        <v>552</v>
      </c>
      <c r="D1495" s="6" t="str">
        <f>"王会娜"</f>
        <v>王会娜</v>
      </c>
      <c r="E1495" s="6" t="str">
        <f t="shared" si="42"/>
        <v>女</v>
      </c>
    </row>
    <row r="1496" spans="1:5" ht="30" customHeight="1">
      <c r="A1496" s="6">
        <v>1494</v>
      </c>
      <c r="B1496" s="6" t="str">
        <f>"299420210527164002109589"</f>
        <v>299420210527164002109589</v>
      </c>
      <c r="C1496" s="6" t="s">
        <v>552</v>
      </c>
      <c r="D1496" s="6" t="str">
        <f>"王银锚"</f>
        <v>王银锚</v>
      </c>
      <c r="E1496" s="6" t="str">
        <f t="shared" si="42"/>
        <v>女</v>
      </c>
    </row>
    <row r="1497" spans="1:5" ht="30" customHeight="1">
      <c r="A1497" s="6">
        <v>1495</v>
      </c>
      <c r="B1497" s="6" t="str">
        <f>"299420210527164332109595"</f>
        <v>299420210527164332109595</v>
      </c>
      <c r="C1497" s="6" t="s">
        <v>552</v>
      </c>
      <c r="D1497" s="6" t="str">
        <f>"李海艳"</f>
        <v>李海艳</v>
      </c>
      <c r="E1497" s="6" t="str">
        <f t="shared" si="42"/>
        <v>女</v>
      </c>
    </row>
    <row r="1498" spans="1:5" ht="30" customHeight="1">
      <c r="A1498" s="6">
        <v>1496</v>
      </c>
      <c r="B1498" s="6" t="str">
        <f>"299420210527164601109604"</f>
        <v>299420210527164601109604</v>
      </c>
      <c r="C1498" s="6" t="s">
        <v>552</v>
      </c>
      <c r="D1498" s="6" t="str">
        <f>"俞春丽"</f>
        <v>俞春丽</v>
      </c>
      <c r="E1498" s="6" t="str">
        <f t="shared" si="42"/>
        <v>女</v>
      </c>
    </row>
    <row r="1499" spans="1:5" ht="30" customHeight="1">
      <c r="A1499" s="6">
        <v>1497</v>
      </c>
      <c r="B1499" s="6" t="str">
        <f>"299420210527165711109629"</f>
        <v>299420210527165711109629</v>
      </c>
      <c r="C1499" s="6" t="s">
        <v>552</v>
      </c>
      <c r="D1499" s="6" t="str">
        <f>"彭舒凤"</f>
        <v>彭舒凤</v>
      </c>
      <c r="E1499" s="6" t="str">
        <f t="shared" si="42"/>
        <v>女</v>
      </c>
    </row>
    <row r="1500" spans="1:5" ht="30" customHeight="1">
      <c r="A1500" s="6">
        <v>1498</v>
      </c>
      <c r="B1500" s="6" t="str">
        <f>"299420210527165915109637"</f>
        <v>299420210527165915109637</v>
      </c>
      <c r="C1500" s="6" t="s">
        <v>552</v>
      </c>
      <c r="D1500" s="6" t="str">
        <f>"罗鸿雁"</f>
        <v>罗鸿雁</v>
      </c>
      <c r="E1500" s="6" t="str">
        <f t="shared" si="42"/>
        <v>女</v>
      </c>
    </row>
    <row r="1501" spans="1:5" ht="30" customHeight="1">
      <c r="A1501" s="6">
        <v>1499</v>
      </c>
      <c r="B1501" s="6" t="str">
        <f>"299420210527170212109644"</f>
        <v>299420210527170212109644</v>
      </c>
      <c r="C1501" s="6" t="s">
        <v>552</v>
      </c>
      <c r="D1501" s="6" t="str">
        <f>"王小慧"</f>
        <v>王小慧</v>
      </c>
      <c r="E1501" s="6" t="str">
        <f t="shared" si="42"/>
        <v>女</v>
      </c>
    </row>
    <row r="1502" spans="1:5" ht="30" customHeight="1">
      <c r="A1502" s="6">
        <v>1500</v>
      </c>
      <c r="B1502" s="6" t="str">
        <f>"299420210527170521109648"</f>
        <v>299420210527170521109648</v>
      </c>
      <c r="C1502" s="6" t="s">
        <v>552</v>
      </c>
      <c r="D1502" s="6" t="str">
        <f>"陈元花"</f>
        <v>陈元花</v>
      </c>
      <c r="E1502" s="6" t="str">
        <f t="shared" si="42"/>
        <v>女</v>
      </c>
    </row>
    <row r="1503" spans="1:5" ht="30" customHeight="1">
      <c r="A1503" s="6">
        <v>1501</v>
      </c>
      <c r="B1503" s="6" t="str">
        <f>"299420210527172217109669"</f>
        <v>299420210527172217109669</v>
      </c>
      <c r="C1503" s="6" t="s">
        <v>552</v>
      </c>
      <c r="D1503" s="6" t="str">
        <f>"符常者"</f>
        <v>符常者</v>
      </c>
      <c r="E1503" s="6" t="str">
        <f t="shared" si="42"/>
        <v>女</v>
      </c>
    </row>
    <row r="1504" spans="1:5" ht="30" customHeight="1">
      <c r="A1504" s="6">
        <v>1502</v>
      </c>
      <c r="B1504" s="6" t="str">
        <f>"299420210527172402109671"</f>
        <v>299420210527172402109671</v>
      </c>
      <c r="C1504" s="6" t="s">
        <v>552</v>
      </c>
      <c r="D1504" s="6" t="str">
        <f>"王海霞"</f>
        <v>王海霞</v>
      </c>
      <c r="E1504" s="6" t="str">
        <f t="shared" si="42"/>
        <v>女</v>
      </c>
    </row>
    <row r="1505" spans="1:5" ht="30" customHeight="1">
      <c r="A1505" s="6">
        <v>1503</v>
      </c>
      <c r="B1505" s="6" t="str">
        <f>"299420210527173113109682"</f>
        <v>299420210527173113109682</v>
      </c>
      <c r="C1505" s="6" t="s">
        <v>552</v>
      </c>
      <c r="D1505" s="6" t="str">
        <f>"王业林"</f>
        <v>王业林</v>
      </c>
      <c r="E1505" s="6" t="str">
        <f t="shared" si="42"/>
        <v>女</v>
      </c>
    </row>
    <row r="1506" spans="1:5" ht="30" customHeight="1">
      <c r="A1506" s="6">
        <v>1504</v>
      </c>
      <c r="B1506" s="6" t="str">
        <f>"299420210527173124109683"</f>
        <v>299420210527173124109683</v>
      </c>
      <c r="C1506" s="6" t="s">
        <v>552</v>
      </c>
      <c r="D1506" s="6" t="str">
        <f>"黄金怡"</f>
        <v>黄金怡</v>
      </c>
      <c r="E1506" s="6" t="str">
        <f t="shared" si="42"/>
        <v>女</v>
      </c>
    </row>
    <row r="1507" spans="1:5" ht="30" customHeight="1">
      <c r="A1507" s="6">
        <v>1505</v>
      </c>
      <c r="B1507" s="6" t="str">
        <f>"299420210527174346109694"</f>
        <v>299420210527174346109694</v>
      </c>
      <c r="C1507" s="6" t="s">
        <v>552</v>
      </c>
      <c r="D1507" s="6" t="str">
        <f>"马金凤"</f>
        <v>马金凤</v>
      </c>
      <c r="E1507" s="6" t="str">
        <f t="shared" si="42"/>
        <v>女</v>
      </c>
    </row>
    <row r="1508" spans="1:5" ht="30" customHeight="1">
      <c r="A1508" s="6">
        <v>1506</v>
      </c>
      <c r="B1508" s="6" t="str">
        <f>"299420210527174958109703"</f>
        <v>299420210527174958109703</v>
      </c>
      <c r="C1508" s="6" t="s">
        <v>552</v>
      </c>
      <c r="D1508" s="6" t="str">
        <f>"李振妃"</f>
        <v>李振妃</v>
      </c>
      <c r="E1508" s="6" t="str">
        <f t="shared" si="42"/>
        <v>女</v>
      </c>
    </row>
    <row r="1509" spans="1:5" ht="30" customHeight="1">
      <c r="A1509" s="6">
        <v>1507</v>
      </c>
      <c r="B1509" s="6" t="str">
        <f>"299420210527175033109705"</f>
        <v>299420210527175033109705</v>
      </c>
      <c r="C1509" s="6" t="s">
        <v>552</v>
      </c>
      <c r="D1509" s="6" t="str">
        <f>"符煜晨"</f>
        <v>符煜晨</v>
      </c>
      <c r="E1509" s="6" t="str">
        <f>"男"</f>
        <v>男</v>
      </c>
    </row>
    <row r="1510" spans="1:5" ht="30" customHeight="1">
      <c r="A1510" s="6">
        <v>1508</v>
      </c>
      <c r="B1510" s="6" t="str">
        <f>"299420210527182414109745"</f>
        <v>299420210527182414109745</v>
      </c>
      <c r="C1510" s="6" t="s">
        <v>552</v>
      </c>
      <c r="D1510" s="6" t="str">
        <f>"陈彩梅"</f>
        <v>陈彩梅</v>
      </c>
      <c r="E1510" s="6" t="str">
        <f aca="true" t="shared" si="43" ref="E1510:E1544">"女"</f>
        <v>女</v>
      </c>
    </row>
    <row r="1511" spans="1:5" ht="30" customHeight="1">
      <c r="A1511" s="6">
        <v>1509</v>
      </c>
      <c r="B1511" s="6" t="str">
        <f>"299420210527183313109756"</f>
        <v>299420210527183313109756</v>
      </c>
      <c r="C1511" s="6" t="s">
        <v>552</v>
      </c>
      <c r="D1511" s="6" t="str">
        <f>"李小梅"</f>
        <v>李小梅</v>
      </c>
      <c r="E1511" s="6" t="str">
        <f t="shared" si="43"/>
        <v>女</v>
      </c>
    </row>
    <row r="1512" spans="1:5" ht="30" customHeight="1">
      <c r="A1512" s="6">
        <v>1510</v>
      </c>
      <c r="B1512" s="6" t="str">
        <f>"299420210527183538109760"</f>
        <v>299420210527183538109760</v>
      </c>
      <c r="C1512" s="6" t="s">
        <v>552</v>
      </c>
      <c r="D1512" s="6" t="str">
        <f>"汪佳颖"</f>
        <v>汪佳颖</v>
      </c>
      <c r="E1512" s="6" t="str">
        <f t="shared" si="43"/>
        <v>女</v>
      </c>
    </row>
    <row r="1513" spans="1:5" ht="30" customHeight="1">
      <c r="A1513" s="6">
        <v>1511</v>
      </c>
      <c r="B1513" s="6" t="str">
        <f>"299420210527184148109765"</f>
        <v>299420210527184148109765</v>
      </c>
      <c r="C1513" s="6" t="s">
        <v>552</v>
      </c>
      <c r="D1513" s="6" t="str">
        <f>"王重昙"</f>
        <v>王重昙</v>
      </c>
      <c r="E1513" s="6" t="str">
        <f t="shared" si="43"/>
        <v>女</v>
      </c>
    </row>
    <row r="1514" spans="1:5" ht="30" customHeight="1">
      <c r="A1514" s="6">
        <v>1512</v>
      </c>
      <c r="B1514" s="6" t="str">
        <f>"299420210527184509109768"</f>
        <v>299420210527184509109768</v>
      </c>
      <c r="C1514" s="6" t="s">
        <v>552</v>
      </c>
      <c r="D1514" s="6" t="str">
        <f>"王海燕"</f>
        <v>王海燕</v>
      </c>
      <c r="E1514" s="6" t="str">
        <f t="shared" si="43"/>
        <v>女</v>
      </c>
    </row>
    <row r="1515" spans="1:5" ht="30" customHeight="1">
      <c r="A1515" s="6">
        <v>1513</v>
      </c>
      <c r="B1515" s="6" t="str">
        <f>"299420210527184544109769"</f>
        <v>299420210527184544109769</v>
      </c>
      <c r="C1515" s="6" t="s">
        <v>552</v>
      </c>
      <c r="D1515" s="6" t="str">
        <f>"吴晓明"</f>
        <v>吴晓明</v>
      </c>
      <c r="E1515" s="6" t="str">
        <f t="shared" si="43"/>
        <v>女</v>
      </c>
    </row>
    <row r="1516" spans="1:5" ht="30" customHeight="1">
      <c r="A1516" s="6">
        <v>1514</v>
      </c>
      <c r="B1516" s="6" t="str">
        <f>"299420210527184725109770"</f>
        <v>299420210527184725109770</v>
      </c>
      <c r="C1516" s="6" t="s">
        <v>552</v>
      </c>
      <c r="D1516" s="6" t="str">
        <f>"左蓉"</f>
        <v>左蓉</v>
      </c>
      <c r="E1516" s="6" t="str">
        <f t="shared" si="43"/>
        <v>女</v>
      </c>
    </row>
    <row r="1517" spans="1:5" ht="30" customHeight="1">
      <c r="A1517" s="6">
        <v>1515</v>
      </c>
      <c r="B1517" s="6" t="str">
        <f>"299420210527184928109777"</f>
        <v>299420210527184928109777</v>
      </c>
      <c r="C1517" s="6" t="s">
        <v>552</v>
      </c>
      <c r="D1517" s="6" t="str">
        <f>"王燕娥"</f>
        <v>王燕娥</v>
      </c>
      <c r="E1517" s="6" t="str">
        <f t="shared" si="43"/>
        <v>女</v>
      </c>
    </row>
    <row r="1518" spans="1:5" ht="30" customHeight="1">
      <c r="A1518" s="6">
        <v>1516</v>
      </c>
      <c r="B1518" s="6" t="str">
        <f>"299420210527185026109781"</f>
        <v>299420210527185026109781</v>
      </c>
      <c r="C1518" s="6" t="s">
        <v>552</v>
      </c>
      <c r="D1518" s="6" t="str">
        <f>"张海珠"</f>
        <v>张海珠</v>
      </c>
      <c r="E1518" s="6" t="str">
        <f t="shared" si="43"/>
        <v>女</v>
      </c>
    </row>
    <row r="1519" spans="1:5" ht="30" customHeight="1">
      <c r="A1519" s="6">
        <v>1517</v>
      </c>
      <c r="B1519" s="6" t="str">
        <f>"299420210527185739109789"</f>
        <v>299420210527185739109789</v>
      </c>
      <c r="C1519" s="6" t="s">
        <v>552</v>
      </c>
      <c r="D1519" s="6" t="str">
        <f>"王莎莎"</f>
        <v>王莎莎</v>
      </c>
      <c r="E1519" s="6" t="str">
        <f t="shared" si="43"/>
        <v>女</v>
      </c>
    </row>
    <row r="1520" spans="1:5" ht="30" customHeight="1">
      <c r="A1520" s="6">
        <v>1518</v>
      </c>
      <c r="B1520" s="6" t="str">
        <f>"299420210527192226109806"</f>
        <v>299420210527192226109806</v>
      </c>
      <c r="C1520" s="6" t="s">
        <v>552</v>
      </c>
      <c r="D1520" s="6" t="str">
        <f>"吴秋波"</f>
        <v>吴秋波</v>
      </c>
      <c r="E1520" s="6" t="str">
        <f t="shared" si="43"/>
        <v>女</v>
      </c>
    </row>
    <row r="1521" spans="1:5" ht="30" customHeight="1">
      <c r="A1521" s="6">
        <v>1519</v>
      </c>
      <c r="B1521" s="6" t="str">
        <f>"299420210527192910109818"</f>
        <v>299420210527192910109818</v>
      </c>
      <c r="C1521" s="6" t="s">
        <v>552</v>
      </c>
      <c r="D1521" s="6" t="str">
        <f>"黄婕"</f>
        <v>黄婕</v>
      </c>
      <c r="E1521" s="6" t="str">
        <f t="shared" si="43"/>
        <v>女</v>
      </c>
    </row>
    <row r="1522" spans="1:5" ht="30" customHeight="1">
      <c r="A1522" s="6">
        <v>1520</v>
      </c>
      <c r="B1522" s="6" t="str">
        <f>"299420210527193215109820"</f>
        <v>299420210527193215109820</v>
      </c>
      <c r="C1522" s="6" t="s">
        <v>552</v>
      </c>
      <c r="D1522" s="6" t="str">
        <f>"王若玮"</f>
        <v>王若玮</v>
      </c>
      <c r="E1522" s="6" t="str">
        <f t="shared" si="43"/>
        <v>女</v>
      </c>
    </row>
    <row r="1523" spans="1:5" ht="30" customHeight="1">
      <c r="A1523" s="6">
        <v>1521</v>
      </c>
      <c r="B1523" s="6" t="str">
        <f>"299420210527193248109821"</f>
        <v>299420210527193248109821</v>
      </c>
      <c r="C1523" s="6" t="s">
        <v>552</v>
      </c>
      <c r="D1523" s="6" t="str">
        <f>"赵青翠"</f>
        <v>赵青翠</v>
      </c>
      <c r="E1523" s="6" t="str">
        <f t="shared" si="43"/>
        <v>女</v>
      </c>
    </row>
    <row r="1524" spans="1:5" ht="30" customHeight="1">
      <c r="A1524" s="6">
        <v>1522</v>
      </c>
      <c r="B1524" s="6" t="str">
        <f>"299420210527193536109824"</f>
        <v>299420210527193536109824</v>
      </c>
      <c r="C1524" s="6" t="s">
        <v>552</v>
      </c>
      <c r="D1524" s="6" t="str">
        <f>"邢叶"</f>
        <v>邢叶</v>
      </c>
      <c r="E1524" s="6" t="str">
        <f t="shared" si="43"/>
        <v>女</v>
      </c>
    </row>
    <row r="1525" spans="1:5" ht="30" customHeight="1">
      <c r="A1525" s="6">
        <v>1523</v>
      </c>
      <c r="B1525" s="6" t="str">
        <f>"299420210527194628109837"</f>
        <v>299420210527194628109837</v>
      </c>
      <c r="C1525" s="6" t="s">
        <v>552</v>
      </c>
      <c r="D1525" s="6" t="str">
        <f>"郭珍珍"</f>
        <v>郭珍珍</v>
      </c>
      <c r="E1525" s="6" t="str">
        <f t="shared" si="43"/>
        <v>女</v>
      </c>
    </row>
    <row r="1526" spans="1:5" ht="30" customHeight="1">
      <c r="A1526" s="6">
        <v>1524</v>
      </c>
      <c r="B1526" s="6" t="str">
        <f>"299420210527194704109839"</f>
        <v>299420210527194704109839</v>
      </c>
      <c r="C1526" s="6" t="s">
        <v>552</v>
      </c>
      <c r="D1526" s="6" t="str">
        <f>"曾晶"</f>
        <v>曾晶</v>
      </c>
      <c r="E1526" s="6" t="str">
        <f t="shared" si="43"/>
        <v>女</v>
      </c>
    </row>
    <row r="1527" spans="1:5" ht="30" customHeight="1">
      <c r="A1527" s="6">
        <v>1525</v>
      </c>
      <c r="B1527" s="6" t="str">
        <f>"299420210527195444109852"</f>
        <v>299420210527195444109852</v>
      </c>
      <c r="C1527" s="6" t="s">
        <v>552</v>
      </c>
      <c r="D1527" s="6" t="str">
        <f>"蒙芳玲"</f>
        <v>蒙芳玲</v>
      </c>
      <c r="E1527" s="6" t="str">
        <f t="shared" si="43"/>
        <v>女</v>
      </c>
    </row>
    <row r="1528" spans="1:5" ht="30" customHeight="1">
      <c r="A1528" s="6">
        <v>1526</v>
      </c>
      <c r="B1528" s="6" t="str">
        <f>"299420210527201649109872"</f>
        <v>299420210527201649109872</v>
      </c>
      <c r="C1528" s="6" t="s">
        <v>552</v>
      </c>
      <c r="D1528" s="6" t="str">
        <f>"叶欣媛"</f>
        <v>叶欣媛</v>
      </c>
      <c r="E1528" s="6" t="str">
        <f t="shared" si="43"/>
        <v>女</v>
      </c>
    </row>
    <row r="1529" spans="1:5" ht="30" customHeight="1">
      <c r="A1529" s="6">
        <v>1527</v>
      </c>
      <c r="B1529" s="6" t="str">
        <f>"299420210527201812109874"</f>
        <v>299420210527201812109874</v>
      </c>
      <c r="C1529" s="6" t="s">
        <v>552</v>
      </c>
      <c r="D1529" s="6" t="str">
        <f>"郑才燕"</f>
        <v>郑才燕</v>
      </c>
      <c r="E1529" s="6" t="str">
        <f t="shared" si="43"/>
        <v>女</v>
      </c>
    </row>
    <row r="1530" spans="1:5" ht="30" customHeight="1">
      <c r="A1530" s="6">
        <v>1528</v>
      </c>
      <c r="B1530" s="6" t="str">
        <f>"299420210527203114109892"</f>
        <v>299420210527203114109892</v>
      </c>
      <c r="C1530" s="6" t="s">
        <v>552</v>
      </c>
      <c r="D1530" s="6" t="str">
        <f>"蔡于玲"</f>
        <v>蔡于玲</v>
      </c>
      <c r="E1530" s="6" t="str">
        <f t="shared" si="43"/>
        <v>女</v>
      </c>
    </row>
    <row r="1531" spans="1:5" ht="30" customHeight="1">
      <c r="A1531" s="6">
        <v>1529</v>
      </c>
      <c r="B1531" s="6" t="str">
        <f>"299420210527203745109901"</f>
        <v>299420210527203745109901</v>
      </c>
      <c r="C1531" s="6" t="s">
        <v>552</v>
      </c>
      <c r="D1531" s="6" t="str">
        <f>"陈积丹"</f>
        <v>陈积丹</v>
      </c>
      <c r="E1531" s="6" t="str">
        <f t="shared" si="43"/>
        <v>女</v>
      </c>
    </row>
    <row r="1532" spans="1:5" ht="30" customHeight="1">
      <c r="A1532" s="6">
        <v>1530</v>
      </c>
      <c r="B1532" s="6" t="str">
        <f>"299420210527203817109903"</f>
        <v>299420210527203817109903</v>
      </c>
      <c r="C1532" s="6" t="s">
        <v>552</v>
      </c>
      <c r="D1532" s="6" t="str">
        <f>"吴家月"</f>
        <v>吴家月</v>
      </c>
      <c r="E1532" s="6" t="str">
        <f t="shared" si="43"/>
        <v>女</v>
      </c>
    </row>
    <row r="1533" spans="1:5" ht="30" customHeight="1">
      <c r="A1533" s="6">
        <v>1531</v>
      </c>
      <c r="B1533" s="6" t="str">
        <f>"299420210527204726109913"</f>
        <v>299420210527204726109913</v>
      </c>
      <c r="C1533" s="6" t="s">
        <v>552</v>
      </c>
      <c r="D1533" s="6" t="str">
        <f>"胡乔莉"</f>
        <v>胡乔莉</v>
      </c>
      <c r="E1533" s="6" t="str">
        <f t="shared" si="43"/>
        <v>女</v>
      </c>
    </row>
    <row r="1534" spans="1:5" ht="30" customHeight="1">
      <c r="A1534" s="6">
        <v>1532</v>
      </c>
      <c r="B1534" s="6" t="str">
        <f>"299420210527204924109919"</f>
        <v>299420210527204924109919</v>
      </c>
      <c r="C1534" s="6" t="s">
        <v>552</v>
      </c>
      <c r="D1534" s="6" t="str">
        <f>"王玺"</f>
        <v>王玺</v>
      </c>
      <c r="E1534" s="6" t="str">
        <f t="shared" si="43"/>
        <v>女</v>
      </c>
    </row>
    <row r="1535" spans="1:5" ht="30" customHeight="1">
      <c r="A1535" s="6">
        <v>1533</v>
      </c>
      <c r="B1535" s="6" t="str">
        <f>"299420210527205157109921"</f>
        <v>299420210527205157109921</v>
      </c>
      <c r="C1535" s="6" t="s">
        <v>552</v>
      </c>
      <c r="D1535" s="6" t="str">
        <f>"吴烨靓"</f>
        <v>吴烨靓</v>
      </c>
      <c r="E1535" s="6" t="str">
        <f t="shared" si="43"/>
        <v>女</v>
      </c>
    </row>
    <row r="1536" spans="1:5" ht="30" customHeight="1">
      <c r="A1536" s="6">
        <v>1534</v>
      </c>
      <c r="B1536" s="6" t="str">
        <f>"299420210527205205109923"</f>
        <v>299420210527205205109923</v>
      </c>
      <c r="C1536" s="6" t="s">
        <v>552</v>
      </c>
      <c r="D1536" s="6" t="str">
        <f>"李丽巧"</f>
        <v>李丽巧</v>
      </c>
      <c r="E1536" s="6" t="str">
        <f t="shared" si="43"/>
        <v>女</v>
      </c>
    </row>
    <row r="1537" spans="1:5" ht="30" customHeight="1">
      <c r="A1537" s="6">
        <v>1535</v>
      </c>
      <c r="B1537" s="6" t="str">
        <f>"299420210527205357109925"</f>
        <v>299420210527205357109925</v>
      </c>
      <c r="C1537" s="6" t="s">
        <v>552</v>
      </c>
      <c r="D1537" s="6" t="str">
        <f>"郭琼花"</f>
        <v>郭琼花</v>
      </c>
      <c r="E1537" s="6" t="str">
        <f t="shared" si="43"/>
        <v>女</v>
      </c>
    </row>
    <row r="1538" spans="1:5" ht="30" customHeight="1">
      <c r="A1538" s="6">
        <v>1536</v>
      </c>
      <c r="B1538" s="6" t="str">
        <f>"299420210527205430109926"</f>
        <v>299420210527205430109926</v>
      </c>
      <c r="C1538" s="6" t="s">
        <v>552</v>
      </c>
      <c r="D1538" s="6" t="str">
        <f>"符瑞影"</f>
        <v>符瑞影</v>
      </c>
      <c r="E1538" s="6" t="str">
        <f t="shared" si="43"/>
        <v>女</v>
      </c>
    </row>
    <row r="1539" spans="1:5" ht="30" customHeight="1">
      <c r="A1539" s="6">
        <v>1537</v>
      </c>
      <c r="B1539" s="6" t="str">
        <f>"299420210527205818109935"</f>
        <v>299420210527205818109935</v>
      </c>
      <c r="C1539" s="6" t="s">
        <v>552</v>
      </c>
      <c r="D1539" s="6" t="str">
        <f>"冯晓柳"</f>
        <v>冯晓柳</v>
      </c>
      <c r="E1539" s="6" t="str">
        <f t="shared" si="43"/>
        <v>女</v>
      </c>
    </row>
    <row r="1540" spans="1:5" ht="30" customHeight="1">
      <c r="A1540" s="6">
        <v>1538</v>
      </c>
      <c r="B1540" s="6" t="str">
        <f>"299420210527210233109944"</f>
        <v>299420210527210233109944</v>
      </c>
      <c r="C1540" s="6" t="s">
        <v>552</v>
      </c>
      <c r="D1540" s="6" t="str">
        <f>"邝小艳"</f>
        <v>邝小艳</v>
      </c>
      <c r="E1540" s="6" t="str">
        <f t="shared" si="43"/>
        <v>女</v>
      </c>
    </row>
    <row r="1541" spans="1:5" ht="30" customHeight="1">
      <c r="A1541" s="6">
        <v>1539</v>
      </c>
      <c r="B1541" s="6" t="str">
        <f>"299420210527210413109946"</f>
        <v>299420210527210413109946</v>
      </c>
      <c r="C1541" s="6" t="s">
        <v>552</v>
      </c>
      <c r="D1541" s="6" t="str">
        <f>"陈海霞"</f>
        <v>陈海霞</v>
      </c>
      <c r="E1541" s="6" t="str">
        <f t="shared" si="43"/>
        <v>女</v>
      </c>
    </row>
    <row r="1542" spans="1:5" ht="30" customHeight="1">
      <c r="A1542" s="6">
        <v>1540</v>
      </c>
      <c r="B1542" s="6" t="str">
        <f>"299420210527211117109951"</f>
        <v>299420210527211117109951</v>
      </c>
      <c r="C1542" s="6" t="s">
        <v>552</v>
      </c>
      <c r="D1542" s="6" t="str">
        <f>"梁才南"</f>
        <v>梁才南</v>
      </c>
      <c r="E1542" s="6" t="str">
        <f t="shared" si="43"/>
        <v>女</v>
      </c>
    </row>
    <row r="1543" spans="1:5" ht="30" customHeight="1">
      <c r="A1543" s="6">
        <v>1541</v>
      </c>
      <c r="B1543" s="6" t="str">
        <f>"299420210527211913109966"</f>
        <v>299420210527211913109966</v>
      </c>
      <c r="C1543" s="6" t="s">
        <v>552</v>
      </c>
      <c r="D1543" s="6" t="str">
        <f>"陈进娜"</f>
        <v>陈进娜</v>
      </c>
      <c r="E1543" s="6" t="str">
        <f t="shared" si="43"/>
        <v>女</v>
      </c>
    </row>
    <row r="1544" spans="1:5" ht="30" customHeight="1">
      <c r="A1544" s="6">
        <v>1542</v>
      </c>
      <c r="B1544" s="6" t="str">
        <f>"299420210527211952109969"</f>
        <v>299420210527211952109969</v>
      </c>
      <c r="C1544" s="6" t="s">
        <v>552</v>
      </c>
      <c r="D1544" s="6" t="str">
        <f>"苏吉倩"</f>
        <v>苏吉倩</v>
      </c>
      <c r="E1544" s="6" t="str">
        <f t="shared" si="43"/>
        <v>女</v>
      </c>
    </row>
    <row r="1545" spans="1:5" ht="30" customHeight="1">
      <c r="A1545" s="6">
        <v>1543</v>
      </c>
      <c r="B1545" s="6" t="str">
        <f>"299420210527212054109970"</f>
        <v>299420210527212054109970</v>
      </c>
      <c r="C1545" s="6" t="s">
        <v>552</v>
      </c>
      <c r="D1545" s="6" t="str">
        <f>"梁其尧"</f>
        <v>梁其尧</v>
      </c>
      <c r="E1545" s="6" t="str">
        <f>"男"</f>
        <v>男</v>
      </c>
    </row>
    <row r="1546" spans="1:5" ht="30" customHeight="1">
      <c r="A1546" s="6">
        <v>1544</v>
      </c>
      <c r="B1546" s="6" t="str">
        <f>"299420210527212505109974"</f>
        <v>299420210527212505109974</v>
      </c>
      <c r="C1546" s="6" t="s">
        <v>552</v>
      </c>
      <c r="D1546" s="6" t="str">
        <f>"郑文竹"</f>
        <v>郑文竹</v>
      </c>
      <c r="E1546" s="6" t="str">
        <f>"女"</f>
        <v>女</v>
      </c>
    </row>
    <row r="1547" spans="1:5" ht="30" customHeight="1">
      <c r="A1547" s="6">
        <v>1545</v>
      </c>
      <c r="B1547" s="6" t="str">
        <f>"299420210527212521109975"</f>
        <v>299420210527212521109975</v>
      </c>
      <c r="C1547" s="6" t="s">
        <v>552</v>
      </c>
      <c r="D1547" s="6" t="str">
        <f>"郭泽锦"</f>
        <v>郭泽锦</v>
      </c>
      <c r="E1547" s="6" t="str">
        <f>"男"</f>
        <v>男</v>
      </c>
    </row>
    <row r="1548" spans="1:5" ht="30" customHeight="1">
      <c r="A1548" s="6">
        <v>1546</v>
      </c>
      <c r="B1548" s="6" t="str">
        <f>"299420210527213427109981"</f>
        <v>299420210527213427109981</v>
      </c>
      <c r="C1548" s="6" t="s">
        <v>552</v>
      </c>
      <c r="D1548" s="6" t="str">
        <f>"符小霞"</f>
        <v>符小霞</v>
      </c>
      <c r="E1548" s="6" t="str">
        <f>"女"</f>
        <v>女</v>
      </c>
    </row>
    <row r="1549" spans="1:5" ht="30" customHeight="1">
      <c r="A1549" s="6">
        <v>1547</v>
      </c>
      <c r="B1549" s="6" t="str">
        <f>"299420210527220040110011"</f>
        <v>299420210527220040110011</v>
      </c>
      <c r="C1549" s="6" t="s">
        <v>552</v>
      </c>
      <c r="D1549" s="6" t="str">
        <f>"林丽霞"</f>
        <v>林丽霞</v>
      </c>
      <c r="E1549" s="6" t="str">
        <f>"女"</f>
        <v>女</v>
      </c>
    </row>
    <row r="1550" spans="1:5" ht="30" customHeight="1">
      <c r="A1550" s="6">
        <v>1548</v>
      </c>
      <c r="B1550" s="6" t="str">
        <f>"299420210527220213110014"</f>
        <v>299420210527220213110014</v>
      </c>
      <c r="C1550" s="6" t="s">
        <v>552</v>
      </c>
      <c r="D1550" s="6" t="str">
        <f>"曾萍"</f>
        <v>曾萍</v>
      </c>
      <c r="E1550" s="6" t="str">
        <f>"女"</f>
        <v>女</v>
      </c>
    </row>
    <row r="1551" spans="1:5" ht="30" customHeight="1">
      <c r="A1551" s="6">
        <v>1549</v>
      </c>
      <c r="B1551" s="6" t="str">
        <f>"299420210527220653110021"</f>
        <v>299420210527220653110021</v>
      </c>
      <c r="C1551" s="6" t="s">
        <v>552</v>
      </c>
      <c r="D1551" s="6" t="str">
        <f>"赵梦璐"</f>
        <v>赵梦璐</v>
      </c>
      <c r="E1551" s="6" t="str">
        <f>"女"</f>
        <v>女</v>
      </c>
    </row>
    <row r="1552" spans="1:5" ht="30" customHeight="1">
      <c r="A1552" s="6">
        <v>1550</v>
      </c>
      <c r="B1552" s="6" t="str">
        <f>"299420210527220731110023"</f>
        <v>299420210527220731110023</v>
      </c>
      <c r="C1552" s="6" t="s">
        <v>552</v>
      </c>
      <c r="D1552" s="6" t="str">
        <f>"颜业畅"</f>
        <v>颜业畅</v>
      </c>
      <c r="E1552" s="6" t="str">
        <f>"男"</f>
        <v>男</v>
      </c>
    </row>
    <row r="1553" spans="1:5" ht="30" customHeight="1">
      <c r="A1553" s="6">
        <v>1551</v>
      </c>
      <c r="B1553" s="6" t="str">
        <f>"299420210527221229110029"</f>
        <v>299420210527221229110029</v>
      </c>
      <c r="C1553" s="6" t="s">
        <v>552</v>
      </c>
      <c r="D1553" s="6" t="str">
        <f>"陈洁"</f>
        <v>陈洁</v>
      </c>
      <c r="E1553" s="6" t="str">
        <f aca="true" t="shared" si="44" ref="E1553:E1616">"女"</f>
        <v>女</v>
      </c>
    </row>
    <row r="1554" spans="1:5" ht="30" customHeight="1">
      <c r="A1554" s="6">
        <v>1552</v>
      </c>
      <c r="B1554" s="6" t="str">
        <f>"299420210527221620110038"</f>
        <v>299420210527221620110038</v>
      </c>
      <c r="C1554" s="6" t="s">
        <v>552</v>
      </c>
      <c r="D1554" s="6" t="str">
        <f>"陈君君"</f>
        <v>陈君君</v>
      </c>
      <c r="E1554" s="6" t="str">
        <f t="shared" si="44"/>
        <v>女</v>
      </c>
    </row>
    <row r="1555" spans="1:5" ht="30" customHeight="1">
      <c r="A1555" s="6">
        <v>1553</v>
      </c>
      <c r="B1555" s="6" t="str">
        <f>"299420210527222047110046"</f>
        <v>299420210527222047110046</v>
      </c>
      <c r="C1555" s="6" t="s">
        <v>552</v>
      </c>
      <c r="D1555" s="6" t="str">
        <f>"李文丽"</f>
        <v>李文丽</v>
      </c>
      <c r="E1555" s="6" t="str">
        <f t="shared" si="44"/>
        <v>女</v>
      </c>
    </row>
    <row r="1556" spans="1:5" ht="30" customHeight="1">
      <c r="A1556" s="6">
        <v>1554</v>
      </c>
      <c r="B1556" s="6" t="str">
        <f>"299420210527223827110067"</f>
        <v>299420210527223827110067</v>
      </c>
      <c r="C1556" s="6" t="s">
        <v>552</v>
      </c>
      <c r="D1556" s="6" t="str">
        <f>"陈美伶"</f>
        <v>陈美伶</v>
      </c>
      <c r="E1556" s="6" t="str">
        <f t="shared" si="44"/>
        <v>女</v>
      </c>
    </row>
    <row r="1557" spans="1:5" ht="30" customHeight="1">
      <c r="A1557" s="6">
        <v>1555</v>
      </c>
      <c r="B1557" s="6" t="str">
        <f>"299420210527224655110079"</f>
        <v>299420210527224655110079</v>
      </c>
      <c r="C1557" s="6" t="s">
        <v>552</v>
      </c>
      <c r="D1557" s="6" t="str">
        <f>"符月婷"</f>
        <v>符月婷</v>
      </c>
      <c r="E1557" s="6" t="str">
        <f t="shared" si="44"/>
        <v>女</v>
      </c>
    </row>
    <row r="1558" spans="1:5" ht="30" customHeight="1">
      <c r="A1558" s="6">
        <v>1556</v>
      </c>
      <c r="B1558" s="6" t="str">
        <f>"299420210527225045110086"</f>
        <v>299420210527225045110086</v>
      </c>
      <c r="C1558" s="6" t="s">
        <v>552</v>
      </c>
      <c r="D1558" s="6" t="str">
        <f>"林慧慧"</f>
        <v>林慧慧</v>
      </c>
      <c r="E1558" s="6" t="str">
        <f t="shared" si="44"/>
        <v>女</v>
      </c>
    </row>
    <row r="1559" spans="1:5" ht="30" customHeight="1">
      <c r="A1559" s="6">
        <v>1557</v>
      </c>
      <c r="B1559" s="6" t="str">
        <f>"299420210527225352110091"</f>
        <v>299420210527225352110091</v>
      </c>
      <c r="C1559" s="6" t="s">
        <v>552</v>
      </c>
      <c r="D1559" s="6" t="str">
        <f>"冯海丽"</f>
        <v>冯海丽</v>
      </c>
      <c r="E1559" s="6" t="str">
        <f t="shared" si="44"/>
        <v>女</v>
      </c>
    </row>
    <row r="1560" spans="1:5" ht="30" customHeight="1">
      <c r="A1560" s="6">
        <v>1558</v>
      </c>
      <c r="B1560" s="6" t="str">
        <f>"299420210527225814110100"</f>
        <v>299420210527225814110100</v>
      </c>
      <c r="C1560" s="6" t="s">
        <v>552</v>
      </c>
      <c r="D1560" s="6" t="str">
        <f>"王岱冉"</f>
        <v>王岱冉</v>
      </c>
      <c r="E1560" s="6" t="str">
        <f t="shared" si="44"/>
        <v>女</v>
      </c>
    </row>
    <row r="1561" spans="1:5" ht="30" customHeight="1">
      <c r="A1561" s="6">
        <v>1559</v>
      </c>
      <c r="B1561" s="6" t="str">
        <f>"299420210527230524110112"</f>
        <v>299420210527230524110112</v>
      </c>
      <c r="C1561" s="6" t="s">
        <v>552</v>
      </c>
      <c r="D1561" s="6" t="str">
        <f>"符亚菊"</f>
        <v>符亚菊</v>
      </c>
      <c r="E1561" s="6" t="str">
        <f t="shared" si="44"/>
        <v>女</v>
      </c>
    </row>
    <row r="1562" spans="1:5" ht="30" customHeight="1">
      <c r="A1562" s="6">
        <v>1560</v>
      </c>
      <c r="B1562" s="6" t="str">
        <f>"299420210527231856110123"</f>
        <v>299420210527231856110123</v>
      </c>
      <c r="C1562" s="6" t="s">
        <v>552</v>
      </c>
      <c r="D1562" s="6" t="str">
        <f>"余悦"</f>
        <v>余悦</v>
      </c>
      <c r="E1562" s="6" t="str">
        <f t="shared" si="44"/>
        <v>女</v>
      </c>
    </row>
    <row r="1563" spans="1:5" ht="30" customHeight="1">
      <c r="A1563" s="6">
        <v>1561</v>
      </c>
      <c r="B1563" s="6" t="str">
        <f>"299420210527232406110128"</f>
        <v>299420210527232406110128</v>
      </c>
      <c r="C1563" s="6" t="s">
        <v>552</v>
      </c>
      <c r="D1563" s="6" t="str">
        <f>"詹美清"</f>
        <v>詹美清</v>
      </c>
      <c r="E1563" s="6" t="str">
        <f t="shared" si="44"/>
        <v>女</v>
      </c>
    </row>
    <row r="1564" spans="1:5" ht="30" customHeight="1">
      <c r="A1564" s="6">
        <v>1562</v>
      </c>
      <c r="B1564" s="6" t="str">
        <f>"299420210527232514110129"</f>
        <v>299420210527232514110129</v>
      </c>
      <c r="C1564" s="6" t="s">
        <v>552</v>
      </c>
      <c r="D1564" s="6" t="str">
        <f>"林杨"</f>
        <v>林杨</v>
      </c>
      <c r="E1564" s="6" t="str">
        <f t="shared" si="44"/>
        <v>女</v>
      </c>
    </row>
    <row r="1565" spans="1:5" ht="30" customHeight="1">
      <c r="A1565" s="6">
        <v>1563</v>
      </c>
      <c r="B1565" s="6" t="str">
        <f>"299420210527233149110133"</f>
        <v>299420210527233149110133</v>
      </c>
      <c r="C1565" s="6" t="s">
        <v>552</v>
      </c>
      <c r="D1565" s="6" t="str">
        <f>"林小玉"</f>
        <v>林小玉</v>
      </c>
      <c r="E1565" s="6" t="str">
        <f t="shared" si="44"/>
        <v>女</v>
      </c>
    </row>
    <row r="1566" spans="1:5" ht="30" customHeight="1">
      <c r="A1566" s="6">
        <v>1564</v>
      </c>
      <c r="B1566" s="6" t="str">
        <f>"299420210527233213110134"</f>
        <v>299420210527233213110134</v>
      </c>
      <c r="C1566" s="6" t="s">
        <v>552</v>
      </c>
      <c r="D1566" s="6" t="str">
        <f>"吴碧云"</f>
        <v>吴碧云</v>
      </c>
      <c r="E1566" s="6" t="str">
        <f t="shared" si="44"/>
        <v>女</v>
      </c>
    </row>
    <row r="1567" spans="1:5" ht="30" customHeight="1">
      <c r="A1567" s="6">
        <v>1565</v>
      </c>
      <c r="B1567" s="6" t="str">
        <f>"299420210527233244110135"</f>
        <v>299420210527233244110135</v>
      </c>
      <c r="C1567" s="6" t="s">
        <v>552</v>
      </c>
      <c r="D1567" s="6" t="str">
        <f>"羊娇娇"</f>
        <v>羊娇娇</v>
      </c>
      <c r="E1567" s="6" t="str">
        <f t="shared" si="44"/>
        <v>女</v>
      </c>
    </row>
    <row r="1568" spans="1:5" ht="30" customHeight="1">
      <c r="A1568" s="6">
        <v>1566</v>
      </c>
      <c r="B1568" s="6" t="str">
        <f>"299420210527234228110141"</f>
        <v>299420210527234228110141</v>
      </c>
      <c r="C1568" s="6" t="s">
        <v>552</v>
      </c>
      <c r="D1568" s="6" t="str">
        <f>"毛静"</f>
        <v>毛静</v>
      </c>
      <c r="E1568" s="6" t="str">
        <f t="shared" si="44"/>
        <v>女</v>
      </c>
    </row>
    <row r="1569" spans="1:5" ht="30" customHeight="1">
      <c r="A1569" s="6">
        <v>1567</v>
      </c>
      <c r="B1569" s="6" t="str">
        <f>"299420210528003216110169"</f>
        <v>299420210528003216110169</v>
      </c>
      <c r="C1569" s="6" t="s">
        <v>552</v>
      </c>
      <c r="D1569" s="6" t="str">
        <f>"梁海鹰"</f>
        <v>梁海鹰</v>
      </c>
      <c r="E1569" s="6" t="str">
        <f t="shared" si="44"/>
        <v>女</v>
      </c>
    </row>
    <row r="1570" spans="1:5" ht="30" customHeight="1">
      <c r="A1570" s="6">
        <v>1568</v>
      </c>
      <c r="B1570" s="6" t="str">
        <f>"299420210528074749110191"</f>
        <v>299420210528074749110191</v>
      </c>
      <c r="C1570" s="6" t="s">
        <v>552</v>
      </c>
      <c r="D1570" s="6" t="str">
        <f>"蔺芳艳"</f>
        <v>蔺芳艳</v>
      </c>
      <c r="E1570" s="6" t="str">
        <f t="shared" si="44"/>
        <v>女</v>
      </c>
    </row>
    <row r="1571" spans="1:5" ht="30" customHeight="1">
      <c r="A1571" s="6">
        <v>1569</v>
      </c>
      <c r="B1571" s="6" t="str">
        <f>"299420210528081328110201"</f>
        <v>299420210528081328110201</v>
      </c>
      <c r="C1571" s="6" t="s">
        <v>552</v>
      </c>
      <c r="D1571" s="6" t="str">
        <f>"冯若妃"</f>
        <v>冯若妃</v>
      </c>
      <c r="E1571" s="6" t="str">
        <f t="shared" si="44"/>
        <v>女</v>
      </c>
    </row>
    <row r="1572" spans="1:5" ht="30" customHeight="1">
      <c r="A1572" s="6">
        <v>1570</v>
      </c>
      <c r="B1572" s="6" t="str">
        <f>"299420210528082940110213"</f>
        <v>299420210528082940110213</v>
      </c>
      <c r="C1572" s="6" t="s">
        <v>552</v>
      </c>
      <c r="D1572" s="6" t="str">
        <f>"陈妹玉"</f>
        <v>陈妹玉</v>
      </c>
      <c r="E1572" s="6" t="str">
        <f t="shared" si="44"/>
        <v>女</v>
      </c>
    </row>
    <row r="1573" spans="1:5" ht="30" customHeight="1">
      <c r="A1573" s="6">
        <v>1571</v>
      </c>
      <c r="B1573" s="6" t="str">
        <f>"299420210528083106110216"</f>
        <v>299420210528083106110216</v>
      </c>
      <c r="C1573" s="6" t="s">
        <v>552</v>
      </c>
      <c r="D1573" s="6" t="str">
        <f>"王玲兰"</f>
        <v>王玲兰</v>
      </c>
      <c r="E1573" s="6" t="str">
        <f t="shared" si="44"/>
        <v>女</v>
      </c>
    </row>
    <row r="1574" spans="1:5" ht="30" customHeight="1">
      <c r="A1574" s="6">
        <v>1572</v>
      </c>
      <c r="B1574" s="6" t="str">
        <f>"299420210528090134110253"</f>
        <v>299420210528090134110253</v>
      </c>
      <c r="C1574" s="6" t="s">
        <v>552</v>
      </c>
      <c r="D1574" s="6" t="str">
        <f>"李彩静"</f>
        <v>李彩静</v>
      </c>
      <c r="E1574" s="6" t="str">
        <f t="shared" si="44"/>
        <v>女</v>
      </c>
    </row>
    <row r="1575" spans="1:5" ht="30" customHeight="1">
      <c r="A1575" s="6">
        <v>1573</v>
      </c>
      <c r="B1575" s="6" t="str">
        <f>"299420210528090532110256"</f>
        <v>299420210528090532110256</v>
      </c>
      <c r="C1575" s="6" t="s">
        <v>552</v>
      </c>
      <c r="D1575" s="6" t="str">
        <f>"林翠"</f>
        <v>林翠</v>
      </c>
      <c r="E1575" s="6" t="str">
        <f t="shared" si="44"/>
        <v>女</v>
      </c>
    </row>
    <row r="1576" spans="1:5" ht="30" customHeight="1">
      <c r="A1576" s="6">
        <v>1574</v>
      </c>
      <c r="B1576" s="6" t="str">
        <f>"299420210528090837110264"</f>
        <v>299420210528090837110264</v>
      </c>
      <c r="C1576" s="6" t="s">
        <v>552</v>
      </c>
      <c r="D1576" s="6" t="str">
        <f>"彭曼"</f>
        <v>彭曼</v>
      </c>
      <c r="E1576" s="6" t="str">
        <f t="shared" si="44"/>
        <v>女</v>
      </c>
    </row>
    <row r="1577" spans="1:5" ht="30" customHeight="1">
      <c r="A1577" s="6">
        <v>1575</v>
      </c>
      <c r="B1577" s="6" t="str">
        <f>"299420210528091036110267"</f>
        <v>299420210528091036110267</v>
      </c>
      <c r="C1577" s="6" t="s">
        <v>552</v>
      </c>
      <c r="D1577" s="6" t="str">
        <f>"杨少玲"</f>
        <v>杨少玲</v>
      </c>
      <c r="E1577" s="6" t="str">
        <f t="shared" si="44"/>
        <v>女</v>
      </c>
    </row>
    <row r="1578" spans="1:5" ht="30" customHeight="1">
      <c r="A1578" s="6">
        <v>1576</v>
      </c>
      <c r="B1578" s="6" t="str">
        <f>"299420210528091043110268"</f>
        <v>299420210528091043110268</v>
      </c>
      <c r="C1578" s="6" t="s">
        <v>552</v>
      </c>
      <c r="D1578" s="6" t="str">
        <f>"吴玉梅"</f>
        <v>吴玉梅</v>
      </c>
      <c r="E1578" s="6" t="str">
        <f t="shared" si="44"/>
        <v>女</v>
      </c>
    </row>
    <row r="1579" spans="1:5" ht="30" customHeight="1">
      <c r="A1579" s="6">
        <v>1577</v>
      </c>
      <c r="B1579" s="6" t="str">
        <f>"299420210528091511110277"</f>
        <v>299420210528091511110277</v>
      </c>
      <c r="C1579" s="6" t="s">
        <v>552</v>
      </c>
      <c r="D1579" s="6" t="str">
        <f>"莫丹"</f>
        <v>莫丹</v>
      </c>
      <c r="E1579" s="6" t="str">
        <f t="shared" si="44"/>
        <v>女</v>
      </c>
    </row>
    <row r="1580" spans="1:5" ht="30" customHeight="1">
      <c r="A1580" s="6">
        <v>1578</v>
      </c>
      <c r="B1580" s="6" t="str">
        <f>"299420210528091850110283"</f>
        <v>299420210528091850110283</v>
      </c>
      <c r="C1580" s="6" t="s">
        <v>552</v>
      </c>
      <c r="D1580" s="6" t="str">
        <f>"杨晨"</f>
        <v>杨晨</v>
      </c>
      <c r="E1580" s="6" t="str">
        <f t="shared" si="44"/>
        <v>女</v>
      </c>
    </row>
    <row r="1581" spans="1:5" ht="30" customHeight="1">
      <c r="A1581" s="6">
        <v>1579</v>
      </c>
      <c r="B1581" s="6" t="str">
        <f>"299420210528092435110293"</f>
        <v>299420210528092435110293</v>
      </c>
      <c r="C1581" s="6" t="s">
        <v>552</v>
      </c>
      <c r="D1581" s="6" t="str">
        <f>"王海关 "</f>
        <v>王海关 </v>
      </c>
      <c r="E1581" s="6" t="str">
        <f t="shared" si="44"/>
        <v>女</v>
      </c>
    </row>
    <row r="1582" spans="1:5" ht="30" customHeight="1">
      <c r="A1582" s="6">
        <v>1580</v>
      </c>
      <c r="B1582" s="6" t="str">
        <f>"299420210528093133110307"</f>
        <v>299420210528093133110307</v>
      </c>
      <c r="C1582" s="6" t="s">
        <v>552</v>
      </c>
      <c r="D1582" s="6" t="str">
        <f>"王淑英"</f>
        <v>王淑英</v>
      </c>
      <c r="E1582" s="6" t="str">
        <f t="shared" si="44"/>
        <v>女</v>
      </c>
    </row>
    <row r="1583" spans="1:5" ht="30" customHeight="1">
      <c r="A1583" s="6">
        <v>1581</v>
      </c>
      <c r="B1583" s="6" t="str">
        <f>"299420210528093504110313"</f>
        <v>299420210528093504110313</v>
      </c>
      <c r="C1583" s="6" t="s">
        <v>552</v>
      </c>
      <c r="D1583" s="6" t="str">
        <f>"莫晓玲"</f>
        <v>莫晓玲</v>
      </c>
      <c r="E1583" s="6" t="str">
        <f t="shared" si="44"/>
        <v>女</v>
      </c>
    </row>
    <row r="1584" spans="1:5" ht="30" customHeight="1">
      <c r="A1584" s="6">
        <v>1582</v>
      </c>
      <c r="B1584" s="6" t="str">
        <f>"299420210528093724110318"</f>
        <v>299420210528093724110318</v>
      </c>
      <c r="C1584" s="6" t="s">
        <v>552</v>
      </c>
      <c r="D1584" s="6" t="str">
        <f>"赵坤相"</f>
        <v>赵坤相</v>
      </c>
      <c r="E1584" s="6" t="str">
        <f t="shared" si="44"/>
        <v>女</v>
      </c>
    </row>
    <row r="1585" spans="1:5" ht="30" customHeight="1">
      <c r="A1585" s="6">
        <v>1583</v>
      </c>
      <c r="B1585" s="6" t="str">
        <f>"299420210528094259110331"</f>
        <v>299420210528094259110331</v>
      </c>
      <c r="C1585" s="6" t="s">
        <v>552</v>
      </c>
      <c r="D1585" s="6" t="str">
        <f>"董玉妍"</f>
        <v>董玉妍</v>
      </c>
      <c r="E1585" s="6" t="str">
        <f t="shared" si="44"/>
        <v>女</v>
      </c>
    </row>
    <row r="1586" spans="1:5" ht="30" customHeight="1">
      <c r="A1586" s="6">
        <v>1584</v>
      </c>
      <c r="B1586" s="6" t="str">
        <f>"299420210528094614110340"</f>
        <v>299420210528094614110340</v>
      </c>
      <c r="C1586" s="6" t="s">
        <v>552</v>
      </c>
      <c r="D1586" s="6" t="str">
        <f>"林蕾"</f>
        <v>林蕾</v>
      </c>
      <c r="E1586" s="6" t="str">
        <f t="shared" si="44"/>
        <v>女</v>
      </c>
    </row>
    <row r="1587" spans="1:5" ht="30" customHeight="1">
      <c r="A1587" s="6">
        <v>1585</v>
      </c>
      <c r="B1587" s="6" t="str">
        <f>"299420210528095145110350"</f>
        <v>299420210528095145110350</v>
      </c>
      <c r="C1587" s="6" t="s">
        <v>552</v>
      </c>
      <c r="D1587" s="6" t="str">
        <f>"罗秀香"</f>
        <v>罗秀香</v>
      </c>
      <c r="E1587" s="6" t="str">
        <f t="shared" si="44"/>
        <v>女</v>
      </c>
    </row>
    <row r="1588" spans="1:5" ht="30" customHeight="1">
      <c r="A1588" s="6">
        <v>1586</v>
      </c>
      <c r="B1588" s="6" t="str">
        <f>"299420210528095927110361"</f>
        <v>299420210528095927110361</v>
      </c>
      <c r="C1588" s="6" t="s">
        <v>552</v>
      </c>
      <c r="D1588" s="6" t="str">
        <f>"吴丽珠"</f>
        <v>吴丽珠</v>
      </c>
      <c r="E1588" s="6" t="str">
        <f t="shared" si="44"/>
        <v>女</v>
      </c>
    </row>
    <row r="1589" spans="1:5" ht="30" customHeight="1">
      <c r="A1589" s="6">
        <v>1587</v>
      </c>
      <c r="B1589" s="6" t="str">
        <f>"299420210528095927110362"</f>
        <v>299420210528095927110362</v>
      </c>
      <c r="C1589" s="6" t="s">
        <v>552</v>
      </c>
      <c r="D1589" s="6" t="str">
        <f>"黄雪珍"</f>
        <v>黄雪珍</v>
      </c>
      <c r="E1589" s="6" t="str">
        <f t="shared" si="44"/>
        <v>女</v>
      </c>
    </row>
    <row r="1590" spans="1:5" ht="30" customHeight="1">
      <c r="A1590" s="6">
        <v>1588</v>
      </c>
      <c r="B1590" s="6" t="str">
        <f>"299420210528101256110382"</f>
        <v>299420210528101256110382</v>
      </c>
      <c r="C1590" s="6" t="s">
        <v>552</v>
      </c>
      <c r="D1590" s="6" t="str">
        <f>"肖郁葱"</f>
        <v>肖郁葱</v>
      </c>
      <c r="E1590" s="6" t="str">
        <f t="shared" si="44"/>
        <v>女</v>
      </c>
    </row>
    <row r="1591" spans="1:5" ht="30" customHeight="1">
      <c r="A1591" s="6">
        <v>1589</v>
      </c>
      <c r="B1591" s="6" t="str">
        <f>"299420210528101517110387"</f>
        <v>299420210528101517110387</v>
      </c>
      <c r="C1591" s="6" t="s">
        <v>552</v>
      </c>
      <c r="D1591" s="6" t="str">
        <f>"韩丛竹"</f>
        <v>韩丛竹</v>
      </c>
      <c r="E1591" s="6" t="str">
        <f t="shared" si="44"/>
        <v>女</v>
      </c>
    </row>
    <row r="1592" spans="1:5" ht="30" customHeight="1">
      <c r="A1592" s="6">
        <v>1590</v>
      </c>
      <c r="B1592" s="6" t="str">
        <f>"299420210528101738110390"</f>
        <v>299420210528101738110390</v>
      </c>
      <c r="C1592" s="6" t="s">
        <v>552</v>
      </c>
      <c r="D1592" s="6" t="str">
        <f>"陈焕南"</f>
        <v>陈焕南</v>
      </c>
      <c r="E1592" s="6" t="str">
        <f t="shared" si="44"/>
        <v>女</v>
      </c>
    </row>
    <row r="1593" spans="1:5" ht="30" customHeight="1">
      <c r="A1593" s="6">
        <v>1591</v>
      </c>
      <c r="B1593" s="6" t="str">
        <f>"299420210528103153110422"</f>
        <v>299420210528103153110422</v>
      </c>
      <c r="C1593" s="6" t="s">
        <v>552</v>
      </c>
      <c r="D1593" s="6" t="str">
        <f>"王蕾"</f>
        <v>王蕾</v>
      </c>
      <c r="E1593" s="6" t="str">
        <f t="shared" si="44"/>
        <v>女</v>
      </c>
    </row>
    <row r="1594" spans="1:5" ht="30" customHeight="1">
      <c r="A1594" s="6">
        <v>1592</v>
      </c>
      <c r="B1594" s="6" t="str">
        <f>"299420210528104222110438"</f>
        <v>299420210528104222110438</v>
      </c>
      <c r="C1594" s="6" t="s">
        <v>552</v>
      </c>
      <c r="D1594" s="6" t="str">
        <f>"姜海英"</f>
        <v>姜海英</v>
      </c>
      <c r="E1594" s="6" t="str">
        <f t="shared" si="44"/>
        <v>女</v>
      </c>
    </row>
    <row r="1595" spans="1:5" ht="30" customHeight="1">
      <c r="A1595" s="6">
        <v>1593</v>
      </c>
      <c r="B1595" s="6" t="str">
        <f>"299420210528104304110441"</f>
        <v>299420210528104304110441</v>
      </c>
      <c r="C1595" s="6" t="s">
        <v>552</v>
      </c>
      <c r="D1595" s="6" t="str">
        <f>"吴延娥"</f>
        <v>吴延娥</v>
      </c>
      <c r="E1595" s="6" t="str">
        <f t="shared" si="44"/>
        <v>女</v>
      </c>
    </row>
    <row r="1596" spans="1:5" ht="30" customHeight="1">
      <c r="A1596" s="6">
        <v>1594</v>
      </c>
      <c r="B1596" s="6" t="str">
        <f>"299420210528104458110449"</f>
        <v>299420210528104458110449</v>
      </c>
      <c r="C1596" s="6" t="s">
        <v>552</v>
      </c>
      <c r="D1596" s="6" t="str">
        <f>"吴丽娜"</f>
        <v>吴丽娜</v>
      </c>
      <c r="E1596" s="6" t="str">
        <f t="shared" si="44"/>
        <v>女</v>
      </c>
    </row>
    <row r="1597" spans="1:5" ht="30" customHeight="1">
      <c r="A1597" s="6">
        <v>1595</v>
      </c>
      <c r="B1597" s="6" t="str">
        <f>"299420210528105237110466"</f>
        <v>299420210528105237110466</v>
      </c>
      <c r="C1597" s="6" t="s">
        <v>552</v>
      </c>
      <c r="D1597" s="6" t="str">
        <f>"黄丽萍"</f>
        <v>黄丽萍</v>
      </c>
      <c r="E1597" s="6" t="str">
        <f t="shared" si="44"/>
        <v>女</v>
      </c>
    </row>
    <row r="1598" spans="1:5" ht="30" customHeight="1">
      <c r="A1598" s="6">
        <v>1596</v>
      </c>
      <c r="B1598" s="6" t="str">
        <f>"299420210528105238110467"</f>
        <v>299420210528105238110467</v>
      </c>
      <c r="C1598" s="6" t="s">
        <v>552</v>
      </c>
      <c r="D1598" s="6" t="str">
        <f>"唐婉"</f>
        <v>唐婉</v>
      </c>
      <c r="E1598" s="6" t="str">
        <f t="shared" si="44"/>
        <v>女</v>
      </c>
    </row>
    <row r="1599" spans="1:5" ht="30" customHeight="1">
      <c r="A1599" s="6">
        <v>1597</v>
      </c>
      <c r="B1599" s="6" t="str">
        <f>"299420210528105853110479"</f>
        <v>299420210528105853110479</v>
      </c>
      <c r="C1599" s="6" t="s">
        <v>552</v>
      </c>
      <c r="D1599" s="6" t="str">
        <f>"龙翠婷"</f>
        <v>龙翠婷</v>
      </c>
      <c r="E1599" s="6" t="str">
        <f t="shared" si="44"/>
        <v>女</v>
      </c>
    </row>
    <row r="1600" spans="1:5" ht="30" customHeight="1">
      <c r="A1600" s="6">
        <v>1598</v>
      </c>
      <c r="B1600" s="6" t="str">
        <f>"299420210528105943110481"</f>
        <v>299420210528105943110481</v>
      </c>
      <c r="C1600" s="6" t="s">
        <v>552</v>
      </c>
      <c r="D1600" s="6" t="str">
        <f>"王和欣"</f>
        <v>王和欣</v>
      </c>
      <c r="E1600" s="6" t="str">
        <f t="shared" si="44"/>
        <v>女</v>
      </c>
    </row>
    <row r="1601" spans="1:5" ht="30" customHeight="1">
      <c r="A1601" s="6">
        <v>1599</v>
      </c>
      <c r="B1601" s="6" t="str">
        <f>"299420210528110903110497"</f>
        <v>299420210528110903110497</v>
      </c>
      <c r="C1601" s="6" t="s">
        <v>552</v>
      </c>
      <c r="D1601" s="6" t="str">
        <f>"符绮凤"</f>
        <v>符绮凤</v>
      </c>
      <c r="E1601" s="6" t="str">
        <f t="shared" si="44"/>
        <v>女</v>
      </c>
    </row>
    <row r="1602" spans="1:5" ht="30" customHeight="1">
      <c r="A1602" s="6">
        <v>1600</v>
      </c>
      <c r="B1602" s="6" t="str">
        <f>"299420210528111059110501"</f>
        <v>299420210528111059110501</v>
      </c>
      <c r="C1602" s="6" t="s">
        <v>552</v>
      </c>
      <c r="D1602" s="6" t="str">
        <f>"吴清冰"</f>
        <v>吴清冰</v>
      </c>
      <c r="E1602" s="6" t="str">
        <f t="shared" si="44"/>
        <v>女</v>
      </c>
    </row>
    <row r="1603" spans="1:5" ht="30" customHeight="1">
      <c r="A1603" s="6">
        <v>1601</v>
      </c>
      <c r="B1603" s="6" t="str">
        <f>"299420210528111623110510"</f>
        <v>299420210528111623110510</v>
      </c>
      <c r="C1603" s="6" t="s">
        <v>552</v>
      </c>
      <c r="D1603" s="6" t="str">
        <f>"刘晓瑜"</f>
        <v>刘晓瑜</v>
      </c>
      <c r="E1603" s="6" t="str">
        <f t="shared" si="44"/>
        <v>女</v>
      </c>
    </row>
    <row r="1604" spans="1:5" ht="30" customHeight="1">
      <c r="A1604" s="6">
        <v>1602</v>
      </c>
      <c r="B1604" s="6" t="str">
        <f>"299420210528112826110521"</f>
        <v>299420210528112826110521</v>
      </c>
      <c r="C1604" s="6" t="s">
        <v>552</v>
      </c>
      <c r="D1604" s="6" t="str">
        <f>"吴焕菊"</f>
        <v>吴焕菊</v>
      </c>
      <c r="E1604" s="6" t="str">
        <f t="shared" si="44"/>
        <v>女</v>
      </c>
    </row>
    <row r="1605" spans="1:5" ht="30" customHeight="1">
      <c r="A1605" s="6">
        <v>1603</v>
      </c>
      <c r="B1605" s="6" t="str">
        <f>"299420210528113613110535"</f>
        <v>299420210528113613110535</v>
      </c>
      <c r="C1605" s="6" t="s">
        <v>552</v>
      </c>
      <c r="D1605" s="6" t="str">
        <f>"陈嫔韵"</f>
        <v>陈嫔韵</v>
      </c>
      <c r="E1605" s="6" t="str">
        <f t="shared" si="44"/>
        <v>女</v>
      </c>
    </row>
    <row r="1606" spans="1:5" ht="30" customHeight="1">
      <c r="A1606" s="6">
        <v>1604</v>
      </c>
      <c r="B1606" s="6" t="str">
        <f>"299420210528120650110573"</f>
        <v>299420210528120650110573</v>
      </c>
      <c r="C1606" s="6" t="s">
        <v>552</v>
      </c>
      <c r="D1606" s="6" t="str">
        <f>"吴丽雯"</f>
        <v>吴丽雯</v>
      </c>
      <c r="E1606" s="6" t="str">
        <f t="shared" si="44"/>
        <v>女</v>
      </c>
    </row>
    <row r="1607" spans="1:5" ht="30" customHeight="1">
      <c r="A1607" s="6">
        <v>1605</v>
      </c>
      <c r="B1607" s="6" t="str">
        <f>"299420210528122054110583"</f>
        <v>299420210528122054110583</v>
      </c>
      <c r="C1607" s="6" t="s">
        <v>552</v>
      </c>
      <c r="D1607" s="6" t="str">
        <f>"张益梅"</f>
        <v>张益梅</v>
      </c>
      <c r="E1607" s="6" t="str">
        <f t="shared" si="44"/>
        <v>女</v>
      </c>
    </row>
    <row r="1608" spans="1:5" ht="30" customHeight="1">
      <c r="A1608" s="6">
        <v>1606</v>
      </c>
      <c r="B1608" s="6" t="str">
        <f>"299420210528122715110591"</f>
        <v>299420210528122715110591</v>
      </c>
      <c r="C1608" s="6" t="s">
        <v>552</v>
      </c>
      <c r="D1608" s="6" t="str">
        <f>"邢露露"</f>
        <v>邢露露</v>
      </c>
      <c r="E1608" s="6" t="str">
        <f t="shared" si="44"/>
        <v>女</v>
      </c>
    </row>
    <row r="1609" spans="1:5" ht="30" customHeight="1">
      <c r="A1609" s="6">
        <v>1607</v>
      </c>
      <c r="B1609" s="6" t="str">
        <f>"299420210528123156110603"</f>
        <v>299420210528123156110603</v>
      </c>
      <c r="C1609" s="6" t="s">
        <v>552</v>
      </c>
      <c r="D1609" s="6" t="str">
        <f>"王曼玲"</f>
        <v>王曼玲</v>
      </c>
      <c r="E1609" s="6" t="str">
        <f t="shared" si="44"/>
        <v>女</v>
      </c>
    </row>
    <row r="1610" spans="1:5" ht="30" customHeight="1">
      <c r="A1610" s="6">
        <v>1608</v>
      </c>
      <c r="B1610" s="6" t="str">
        <f>"299420210528123247110605"</f>
        <v>299420210528123247110605</v>
      </c>
      <c r="C1610" s="6" t="s">
        <v>552</v>
      </c>
      <c r="D1610" s="6" t="str">
        <f>"周美美"</f>
        <v>周美美</v>
      </c>
      <c r="E1610" s="6" t="str">
        <f t="shared" si="44"/>
        <v>女</v>
      </c>
    </row>
    <row r="1611" spans="1:5" ht="30" customHeight="1">
      <c r="A1611" s="6">
        <v>1609</v>
      </c>
      <c r="B1611" s="6" t="str">
        <f>"299420210528124420110627"</f>
        <v>299420210528124420110627</v>
      </c>
      <c r="C1611" s="6" t="s">
        <v>552</v>
      </c>
      <c r="D1611" s="6" t="str">
        <f>"陈文翠"</f>
        <v>陈文翠</v>
      </c>
      <c r="E1611" s="6" t="str">
        <f t="shared" si="44"/>
        <v>女</v>
      </c>
    </row>
    <row r="1612" spans="1:5" ht="30" customHeight="1">
      <c r="A1612" s="6">
        <v>1610</v>
      </c>
      <c r="B1612" s="6" t="str">
        <f>"299420210528124455110628"</f>
        <v>299420210528124455110628</v>
      </c>
      <c r="C1612" s="6" t="s">
        <v>552</v>
      </c>
      <c r="D1612" s="6" t="str">
        <f>"何菊"</f>
        <v>何菊</v>
      </c>
      <c r="E1612" s="6" t="str">
        <f t="shared" si="44"/>
        <v>女</v>
      </c>
    </row>
    <row r="1613" spans="1:5" ht="30" customHeight="1">
      <c r="A1613" s="6">
        <v>1611</v>
      </c>
      <c r="B1613" s="6" t="str">
        <f>"299420210528124830110633"</f>
        <v>299420210528124830110633</v>
      </c>
      <c r="C1613" s="6" t="s">
        <v>552</v>
      </c>
      <c r="D1613" s="6" t="str">
        <f>"周思远"</f>
        <v>周思远</v>
      </c>
      <c r="E1613" s="6" t="str">
        <f t="shared" si="44"/>
        <v>女</v>
      </c>
    </row>
    <row r="1614" spans="1:5" ht="30" customHeight="1">
      <c r="A1614" s="6">
        <v>1612</v>
      </c>
      <c r="B1614" s="6" t="str">
        <f>"299420210528125811110651"</f>
        <v>299420210528125811110651</v>
      </c>
      <c r="C1614" s="6" t="s">
        <v>552</v>
      </c>
      <c r="D1614" s="6" t="str">
        <f>"陈明媚"</f>
        <v>陈明媚</v>
      </c>
      <c r="E1614" s="6" t="str">
        <f t="shared" si="44"/>
        <v>女</v>
      </c>
    </row>
    <row r="1615" spans="1:5" ht="30" customHeight="1">
      <c r="A1615" s="6">
        <v>1613</v>
      </c>
      <c r="B1615" s="6" t="str">
        <f>"299420210528130134110659"</f>
        <v>299420210528130134110659</v>
      </c>
      <c r="C1615" s="6" t="s">
        <v>552</v>
      </c>
      <c r="D1615" s="6" t="str">
        <f>"吉才燕"</f>
        <v>吉才燕</v>
      </c>
      <c r="E1615" s="6" t="str">
        <f t="shared" si="44"/>
        <v>女</v>
      </c>
    </row>
    <row r="1616" spans="1:5" ht="30" customHeight="1">
      <c r="A1616" s="6">
        <v>1614</v>
      </c>
      <c r="B1616" s="6" t="str">
        <f>"299420210528130751110668"</f>
        <v>299420210528130751110668</v>
      </c>
      <c r="C1616" s="6" t="s">
        <v>552</v>
      </c>
      <c r="D1616" s="6" t="str">
        <f>"沈秀银"</f>
        <v>沈秀银</v>
      </c>
      <c r="E1616" s="6" t="str">
        <f t="shared" si="44"/>
        <v>女</v>
      </c>
    </row>
    <row r="1617" spans="1:5" ht="30" customHeight="1">
      <c r="A1617" s="6">
        <v>1615</v>
      </c>
      <c r="B1617" s="6" t="str">
        <f>"299420210528131615110681"</f>
        <v>299420210528131615110681</v>
      </c>
      <c r="C1617" s="6" t="s">
        <v>552</v>
      </c>
      <c r="D1617" s="6" t="str">
        <f>"李金英"</f>
        <v>李金英</v>
      </c>
      <c r="E1617" s="6" t="str">
        <f>"女"</f>
        <v>女</v>
      </c>
    </row>
    <row r="1618" spans="1:5" ht="30" customHeight="1">
      <c r="A1618" s="6">
        <v>1616</v>
      </c>
      <c r="B1618" s="6" t="str">
        <f>"299420210528131927110685"</f>
        <v>299420210528131927110685</v>
      </c>
      <c r="C1618" s="6" t="s">
        <v>552</v>
      </c>
      <c r="D1618" s="6" t="str">
        <f>"冯聪"</f>
        <v>冯聪</v>
      </c>
      <c r="E1618" s="6" t="str">
        <f>"女"</f>
        <v>女</v>
      </c>
    </row>
    <row r="1619" spans="1:5" ht="30" customHeight="1">
      <c r="A1619" s="6">
        <v>1617</v>
      </c>
      <c r="B1619" s="6" t="str">
        <f>"299420210528132019110687"</f>
        <v>299420210528132019110687</v>
      </c>
      <c r="C1619" s="6" t="s">
        <v>552</v>
      </c>
      <c r="D1619" s="6" t="str">
        <f>"张艺"</f>
        <v>张艺</v>
      </c>
      <c r="E1619" s="6" t="str">
        <f>"男"</f>
        <v>男</v>
      </c>
    </row>
    <row r="1620" spans="1:5" ht="30" customHeight="1">
      <c r="A1620" s="6">
        <v>1618</v>
      </c>
      <c r="B1620" s="6" t="str">
        <f>"299420210528132525110694"</f>
        <v>299420210528132525110694</v>
      </c>
      <c r="C1620" s="6" t="s">
        <v>552</v>
      </c>
      <c r="D1620" s="6" t="str">
        <f>"林洁"</f>
        <v>林洁</v>
      </c>
      <c r="E1620" s="6" t="str">
        <f aca="true" t="shared" si="45" ref="E1620:E1625">"女"</f>
        <v>女</v>
      </c>
    </row>
    <row r="1621" spans="1:5" ht="30" customHeight="1">
      <c r="A1621" s="6">
        <v>1619</v>
      </c>
      <c r="B1621" s="6" t="str">
        <f>"299420210528132957110702"</f>
        <v>299420210528132957110702</v>
      </c>
      <c r="C1621" s="6" t="s">
        <v>552</v>
      </c>
      <c r="D1621" s="6" t="str">
        <f>"吴长徽"</f>
        <v>吴长徽</v>
      </c>
      <c r="E1621" s="6" t="str">
        <f t="shared" si="45"/>
        <v>女</v>
      </c>
    </row>
    <row r="1622" spans="1:5" ht="30" customHeight="1">
      <c r="A1622" s="6">
        <v>1620</v>
      </c>
      <c r="B1622" s="6" t="str">
        <f>"299420210528133614110713"</f>
        <v>299420210528133614110713</v>
      </c>
      <c r="C1622" s="6" t="s">
        <v>552</v>
      </c>
      <c r="D1622" s="6" t="str">
        <f>"陈小慧"</f>
        <v>陈小慧</v>
      </c>
      <c r="E1622" s="6" t="str">
        <f t="shared" si="45"/>
        <v>女</v>
      </c>
    </row>
    <row r="1623" spans="1:5" ht="30" customHeight="1">
      <c r="A1623" s="6">
        <v>1621</v>
      </c>
      <c r="B1623" s="6" t="str">
        <f>"299420210528134045110718"</f>
        <v>299420210528134045110718</v>
      </c>
      <c r="C1623" s="6" t="s">
        <v>552</v>
      </c>
      <c r="D1623" s="6" t="str">
        <f>"陈章琳"</f>
        <v>陈章琳</v>
      </c>
      <c r="E1623" s="6" t="str">
        <f t="shared" si="45"/>
        <v>女</v>
      </c>
    </row>
    <row r="1624" spans="1:5" ht="30" customHeight="1">
      <c r="A1624" s="6">
        <v>1622</v>
      </c>
      <c r="B1624" s="6" t="str">
        <f>"299420210528134209110720"</f>
        <v>299420210528134209110720</v>
      </c>
      <c r="C1624" s="6" t="s">
        <v>552</v>
      </c>
      <c r="D1624" s="6" t="str">
        <f>"李慧娟"</f>
        <v>李慧娟</v>
      </c>
      <c r="E1624" s="6" t="str">
        <f t="shared" si="45"/>
        <v>女</v>
      </c>
    </row>
    <row r="1625" spans="1:5" ht="30" customHeight="1">
      <c r="A1625" s="6">
        <v>1623</v>
      </c>
      <c r="B1625" s="6" t="str">
        <f>"299420210528134304110722"</f>
        <v>299420210528134304110722</v>
      </c>
      <c r="C1625" s="6" t="s">
        <v>552</v>
      </c>
      <c r="D1625" s="6" t="str">
        <f>"王雪翠"</f>
        <v>王雪翠</v>
      </c>
      <c r="E1625" s="6" t="str">
        <f t="shared" si="45"/>
        <v>女</v>
      </c>
    </row>
    <row r="1626" spans="1:5" ht="30" customHeight="1">
      <c r="A1626" s="6">
        <v>1624</v>
      </c>
      <c r="B1626" s="6" t="str">
        <f>"299420210528134842110731"</f>
        <v>299420210528134842110731</v>
      </c>
      <c r="C1626" s="6" t="s">
        <v>552</v>
      </c>
      <c r="D1626" s="6" t="str">
        <f>"彭康"</f>
        <v>彭康</v>
      </c>
      <c r="E1626" s="6" t="str">
        <f>"男"</f>
        <v>男</v>
      </c>
    </row>
    <row r="1627" spans="1:5" ht="30" customHeight="1">
      <c r="A1627" s="6">
        <v>1625</v>
      </c>
      <c r="B1627" s="6" t="str">
        <f>"299420210528140245110744"</f>
        <v>299420210528140245110744</v>
      </c>
      <c r="C1627" s="6" t="s">
        <v>552</v>
      </c>
      <c r="D1627" s="6" t="str">
        <f>"陈俊婷"</f>
        <v>陈俊婷</v>
      </c>
      <c r="E1627" s="6" t="str">
        <f aca="true" t="shared" si="46" ref="E1627:E1639">"女"</f>
        <v>女</v>
      </c>
    </row>
    <row r="1628" spans="1:5" ht="30" customHeight="1">
      <c r="A1628" s="6">
        <v>1626</v>
      </c>
      <c r="B1628" s="6" t="str">
        <f>"299420210528140402110746"</f>
        <v>299420210528140402110746</v>
      </c>
      <c r="C1628" s="6" t="s">
        <v>552</v>
      </c>
      <c r="D1628" s="6" t="str">
        <f>"羊俊萍"</f>
        <v>羊俊萍</v>
      </c>
      <c r="E1628" s="6" t="str">
        <f t="shared" si="46"/>
        <v>女</v>
      </c>
    </row>
    <row r="1629" spans="1:5" ht="30" customHeight="1">
      <c r="A1629" s="6">
        <v>1627</v>
      </c>
      <c r="B1629" s="6" t="str">
        <f>"299420210528141306110755"</f>
        <v>299420210528141306110755</v>
      </c>
      <c r="C1629" s="6" t="s">
        <v>552</v>
      </c>
      <c r="D1629" s="6" t="str">
        <f>"李彩虹"</f>
        <v>李彩虹</v>
      </c>
      <c r="E1629" s="6" t="str">
        <f t="shared" si="46"/>
        <v>女</v>
      </c>
    </row>
    <row r="1630" spans="1:5" ht="30" customHeight="1">
      <c r="A1630" s="6">
        <v>1628</v>
      </c>
      <c r="B1630" s="6" t="str">
        <f>"299420210528142945110773"</f>
        <v>299420210528142945110773</v>
      </c>
      <c r="C1630" s="6" t="s">
        <v>552</v>
      </c>
      <c r="D1630" s="6" t="str">
        <f>"庄瑶琼"</f>
        <v>庄瑶琼</v>
      </c>
      <c r="E1630" s="6" t="str">
        <f t="shared" si="46"/>
        <v>女</v>
      </c>
    </row>
    <row r="1631" spans="1:5" ht="30" customHeight="1">
      <c r="A1631" s="6">
        <v>1629</v>
      </c>
      <c r="B1631" s="6" t="str">
        <f>"299420210528143025110774"</f>
        <v>299420210528143025110774</v>
      </c>
      <c r="C1631" s="6" t="s">
        <v>552</v>
      </c>
      <c r="D1631" s="6" t="str">
        <f>"蔡丽莉"</f>
        <v>蔡丽莉</v>
      </c>
      <c r="E1631" s="6" t="str">
        <f t="shared" si="46"/>
        <v>女</v>
      </c>
    </row>
    <row r="1632" spans="1:5" ht="30" customHeight="1">
      <c r="A1632" s="6">
        <v>1630</v>
      </c>
      <c r="B1632" s="6" t="str">
        <f>"299420210528143554110782"</f>
        <v>299420210528143554110782</v>
      </c>
      <c r="C1632" s="6" t="s">
        <v>552</v>
      </c>
      <c r="D1632" s="6" t="str">
        <f>"曹佳兴"</f>
        <v>曹佳兴</v>
      </c>
      <c r="E1632" s="6" t="str">
        <f t="shared" si="46"/>
        <v>女</v>
      </c>
    </row>
    <row r="1633" spans="1:5" ht="30" customHeight="1">
      <c r="A1633" s="6">
        <v>1631</v>
      </c>
      <c r="B1633" s="6" t="str">
        <f>"299420210528144615110792"</f>
        <v>299420210528144615110792</v>
      </c>
      <c r="C1633" s="6" t="s">
        <v>552</v>
      </c>
      <c r="D1633" s="6" t="str">
        <f>"王晶"</f>
        <v>王晶</v>
      </c>
      <c r="E1633" s="6" t="str">
        <f t="shared" si="46"/>
        <v>女</v>
      </c>
    </row>
    <row r="1634" spans="1:5" ht="30" customHeight="1">
      <c r="A1634" s="6">
        <v>1632</v>
      </c>
      <c r="B1634" s="6" t="str">
        <f>"299420210528150204110812"</f>
        <v>299420210528150204110812</v>
      </c>
      <c r="C1634" s="6" t="s">
        <v>552</v>
      </c>
      <c r="D1634" s="6" t="str">
        <f>"林尹一"</f>
        <v>林尹一</v>
      </c>
      <c r="E1634" s="6" t="str">
        <f t="shared" si="46"/>
        <v>女</v>
      </c>
    </row>
    <row r="1635" spans="1:5" ht="30" customHeight="1">
      <c r="A1635" s="6">
        <v>1633</v>
      </c>
      <c r="B1635" s="6" t="str">
        <f>"299420210528150623110816"</f>
        <v>299420210528150623110816</v>
      </c>
      <c r="C1635" s="6" t="s">
        <v>552</v>
      </c>
      <c r="D1635" s="6" t="str">
        <f>"周翠"</f>
        <v>周翠</v>
      </c>
      <c r="E1635" s="6" t="str">
        <f t="shared" si="46"/>
        <v>女</v>
      </c>
    </row>
    <row r="1636" spans="1:5" ht="30" customHeight="1">
      <c r="A1636" s="6">
        <v>1634</v>
      </c>
      <c r="B1636" s="6" t="str">
        <f>"299420210528150656110818"</f>
        <v>299420210528150656110818</v>
      </c>
      <c r="C1636" s="6" t="s">
        <v>552</v>
      </c>
      <c r="D1636" s="6" t="str">
        <f>"陈晓洁"</f>
        <v>陈晓洁</v>
      </c>
      <c r="E1636" s="6" t="str">
        <f t="shared" si="46"/>
        <v>女</v>
      </c>
    </row>
    <row r="1637" spans="1:5" ht="30" customHeight="1">
      <c r="A1637" s="6">
        <v>1635</v>
      </c>
      <c r="B1637" s="6" t="str">
        <f>"299420210528151005110825"</f>
        <v>299420210528151005110825</v>
      </c>
      <c r="C1637" s="6" t="s">
        <v>552</v>
      </c>
      <c r="D1637" s="6" t="str">
        <f>"陈丽"</f>
        <v>陈丽</v>
      </c>
      <c r="E1637" s="6" t="str">
        <f t="shared" si="46"/>
        <v>女</v>
      </c>
    </row>
    <row r="1638" spans="1:5" ht="30" customHeight="1">
      <c r="A1638" s="6">
        <v>1636</v>
      </c>
      <c r="B1638" s="6" t="str">
        <f>"299420210528151111110826"</f>
        <v>299420210528151111110826</v>
      </c>
      <c r="C1638" s="6" t="s">
        <v>552</v>
      </c>
      <c r="D1638" s="6" t="str">
        <f>"张清怡"</f>
        <v>张清怡</v>
      </c>
      <c r="E1638" s="6" t="str">
        <f t="shared" si="46"/>
        <v>女</v>
      </c>
    </row>
    <row r="1639" spans="1:5" ht="30" customHeight="1">
      <c r="A1639" s="6">
        <v>1637</v>
      </c>
      <c r="B1639" s="6" t="str">
        <f>"299420210528151543110833"</f>
        <v>299420210528151543110833</v>
      </c>
      <c r="C1639" s="6" t="s">
        <v>552</v>
      </c>
      <c r="D1639" s="6" t="str">
        <f>"冯朝芳"</f>
        <v>冯朝芳</v>
      </c>
      <c r="E1639" s="6" t="str">
        <f t="shared" si="46"/>
        <v>女</v>
      </c>
    </row>
    <row r="1640" spans="1:5" ht="30" customHeight="1">
      <c r="A1640" s="6">
        <v>1638</v>
      </c>
      <c r="B1640" s="6" t="str">
        <f>"299420210528151602110836"</f>
        <v>299420210528151602110836</v>
      </c>
      <c r="C1640" s="6" t="s">
        <v>552</v>
      </c>
      <c r="D1640" s="6" t="str">
        <f>"苏文强"</f>
        <v>苏文强</v>
      </c>
      <c r="E1640" s="6" t="str">
        <f>"男"</f>
        <v>男</v>
      </c>
    </row>
    <row r="1641" spans="1:5" ht="30" customHeight="1">
      <c r="A1641" s="6">
        <v>1639</v>
      </c>
      <c r="B1641" s="6" t="str">
        <f>"299420210528151648110838"</f>
        <v>299420210528151648110838</v>
      </c>
      <c r="C1641" s="6" t="s">
        <v>552</v>
      </c>
      <c r="D1641" s="6" t="str">
        <f>"肖静"</f>
        <v>肖静</v>
      </c>
      <c r="E1641" s="6" t="str">
        <f aca="true" t="shared" si="47" ref="E1641:E1704">"女"</f>
        <v>女</v>
      </c>
    </row>
    <row r="1642" spans="1:5" ht="30" customHeight="1">
      <c r="A1642" s="6">
        <v>1640</v>
      </c>
      <c r="B1642" s="6" t="str">
        <f>"299420210528153023110854"</f>
        <v>299420210528153023110854</v>
      </c>
      <c r="C1642" s="6" t="s">
        <v>552</v>
      </c>
      <c r="D1642" s="6" t="str">
        <f>"邱小慧"</f>
        <v>邱小慧</v>
      </c>
      <c r="E1642" s="6" t="str">
        <f t="shared" si="47"/>
        <v>女</v>
      </c>
    </row>
    <row r="1643" spans="1:5" ht="30" customHeight="1">
      <c r="A1643" s="6">
        <v>1641</v>
      </c>
      <c r="B1643" s="6" t="str">
        <f>"299420210528153247110860"</f>
        <v>299420210528153247110860</v>
      </c>
      <c r="C1643" s="6" t="s">
        <v>552</v>
      </c>
      <c r="D1643" s="6" t="str">
        <f>"庞惠茵"</f>
        <v>庞惠茵</v>
      </c>
      <c r="E1643" s="6" t="str">
        <f t="shared" si="47"/>
        <v>女</v>
      </c>
    </row>
    <row r="1644" spans="1:5" ht="30" customHeight="1">
      <c r="A1644" s="6">
        <v>1642</v>
      </c>
      <c r="B1644" s="6" t="str">
        <f>"299420210528154223110874"</f>
        <v>299420210528154223110874</v>
      </c>
      <c r="C1644" s="6" t="s">
        <v>552</v>
      </c>
      <c r="D1644" s="6" t="str">
        <f>"林建娜"</f>
        <v>林建娜</v>
      </c>
      <c r="E1644" s="6" t="str">
        <f t="shared" si="47"/>
        <v>女</v>
      </c>
    </row>
    <row r="1645" spans="1:5" ht="30" customHeight="1">
      <c r="A1645" s="6">
        <v>1643</v>
      </c>
      <c r="B1645" s="6" t="str">
        <f>"299420210528154335110877"</f>
        <v>299420210528154335110877</v>
      </c>
      <c r="C1645" s="6" t="s">
        <v>552</v>
      </c>
      <c r="D1645" s="6" t="str">
        <f>"曾柳樱"</f>
        <v>曾柳樱</v>
      </c>
      <c r="E1645" s="6" t="str">
        <f t="shared" si="47"/>
        <v>女</v>
      </c>
    </row>
    <row r="1646" spans="1:5" ht="30" customHeight="1">
      <c r="A1646" s="6">
        <v>1644</v>
      </c>
      <c r="B1646" s="6" t="str">
        <f>"299420210528155627110898"</f>
        <v>299420210528155627110898</v>
      </c>
      <c r="C1646" s="6" t="s">
        <v>552</v>
      </c>
      <c r="D1646" s="6" t="str">
        <f>"赖彦羽"</f>
        <v>赖彦羽</v>
      </c>
      <c r="E1646" s="6" t="str">
        <f t="shared" si="47"/>
        <v>女</v>
      </c>
    </row>
    <row r="1647" spans="1:5" ht="30" customHeight="1">
      <c r="A1647" s="6">
        <v>1645</v>
      </c>
      <c r="B1647" s="6" t="str">
        <f>"299420210528160234110907"</f>
        <v>299420210528160234110907</v>
      </c>
      <c r="C1647" s="6" t="s">
        <v>552</v>
      </c>
      <c r="D1647" s="6" t="str">
        <f>"黄东菊"</f>
        <v>黄东菊</v>
      </c>
      <c r="E1647" s="6" t="str">
        <f t="shared" si="47"/>
        <v>女</v>
      </c>
    </row>
    <row r="1648" spans="1:5" ht="30" customHeight="1">
      <c r="A1648" s="6">
        <v>1646</v>
      </c>
      <c r="B1648" s="6" t="str">
        <f>"299420210528161337110922"</f>
        <v>299420210528161337110922</v>
      </c>
      <c r="C1648" s="6" t="s">
        <v>552</v>
      </c>
      <c r="D1648" s="6" t="str">
        <f>"冯莹"</f>
        <v>冯莹</v>
      </c>
      <c r="E1648" s="6" t="str">
        <f t="shared" si="47"/>
        <v>女</v>
      </c>
    </row>
    <row r="1649" spans="1:5" ht="30" customHeight="1">
      <c r="A1649" s="6">
        <v>1647</v>
      </c>
      <c r="B1649" s="6" t="str">
        <f>"299420210528161922110928"</f>
        <v>299420210528161922110928</v>
      </c>
      <c r="C1649" s="6" t="s">
        <v>552</v>
      </c>
      <c r="D1649" s="6" t="str">
        <f>"黄琼慧"</f>
        <v>黄琼慧</v>
      </c>
      <c r="E1649" s="6" t="str">
        <f t="shared" si="47"/>
        <v>女</v>
      </c>
    </row>
    <row r="1650" spans="1:5" ht="30" customHeight="1">
      <c r="A1650" s="6">
        <v>1648</v>
      </c>
      <c r="B1650" s="6" t="str">
        <f>"299420210528164132110965"</f>
        <v>299420210528164132110965</v>
      </c>
      <c r="C1650" s="6" t="s">
        <v>552</v>
      </c>
      <c r="D1650" s="6" t="str">
        <f>"林丽娟"</f>
        <v>林丽娟</v>
      </c>
      <c r="E1650" s="6" t="str">
        <f t="shared" si="47"/>
        <v>女</v>
      </c>
    </row>
    <row r="1651" spans="1:5" ht="30" customHeight="1">
      <c r="A1651" s="6">
        <v>1649</v>
      </c>
      <c r="B1651" s="6" t="str">
        <f>"299420210528165026110978"</f>
        <v>299420210528165026110978</v>
      </c>
      <c r="C1651" s="6" t="s">
        <v>552</v>
      </c>
      <c r="D1651" s="6" t="str">
        <f>"张赢天"</f>
        <v>张赢天</v>
      </c>
      <c r="E1651" s="6" t="str">
        <f t="shared" si="47"/>
        <v>女</v>
      </c>
    </row>
    <row r="1652" spans="1:5" ht="30" customHeight="1">
      <c r="A1652" s="6">
        <v>1650</v>
      </c>
      <c r="B1652" s="6" t="str">
        <f>"299420210528170137110992"</f>
        <v>299420210528170137110992</v>
      </c>
      <c r="C1652" s="6" t="s">
        <v>552</v>
      </c>
      <c r="D1652" s="6" t="str">
        <f>"许晓营"</f>
        <v>许晓营</v>
      </c>
      <c r="E1652" s="6" t="str">
        <f t="shared" si="47"/>
        <v>女</v>
      </c>
    </row>
    <row r="1653" spans="1:5" ht="30" customHeight="1">
      <c r="A1653" s="6">
        <v>1651</v>
      </c>
      <c r="B1653" s="6" t="str">
        <f>"299420210528170812111001"</f>
        <v>299420210528170812111001</v>
      </c>
      <c r="C1653" s="6" t="s">
        <v>552</v>
      </c>
      <c r="D1653" s="6" t="str">
        <f>"林丹"</f>
        <v>林丹</v>
      </c>
      <c r="E1653" s="6" t="str">
        <f t="shared" si="47"/>
        <v>女</v>
      </c>
    </row>
    <row r="1654" spans="1:5" ht="30" customHeight="1">
      <c r="A1654" s="6">
        <v>1652</v>
      </c>
      <c r="B1654" s="6" t="str">
        <f>"299420210528171041111003"</f>
        <v>299420210528171041111003</v>
      </c>
      <c r="C1654" s="6" t="s">
        <v>552</v>
      </c>
      <c r="D1654" s="6" t="str">
        <f>"赵香磊"</f>
        <v>赵香磊</v>
      </c>
      <c r="E1654" s="6" t="str">
        <f t="shared" si="47"/>
        <v>女</v>
      </c>
    </row>
    <row r="1655" spans="1:5" ht="30" customHeight="1">
      <c r="A1655" s="6">
        <v>1653</v>
      </c>
      <c r="B1655" s="6" t="str">
        <f>"299420210528172615111023"</f>
        <v>299420210528172615111023</v>
      </c>
      <c r="C1655" s="6" t="s">
        <v>552</v>
      </c>
      <c r="D1655" s="6" t="str">
        <f>"韩佳霖"</f>
        <v>韩佳霖</v>
      </c>
      <c r="E1655" s="6" t="str">
        <f t="shared" si="47"/>
        <v>女</v>
      </c>
    </row>
    <row r="1656" spans="1:5" ht="30" customHeight="1">
      <c r="A1656" s="6">
        <v>1654</v>
      </c>
      <c r="B1656" s="6" t="str">
        <f>"299420210528174358111046"</f>
        <v>299420210528174358111046</v>
      </c>
      <c r="C1656" s="6" t="s">
        <v>552</v>
      </c>
      <c r="D1656" s="6" t="str">
        <f>"邢月萍"</f>
        <v>邢月萍</v>
      </c>
      <c r="E1656" s="6" t="str">
        <f t="shared" si="47"/>
        <v>女</v>
      </c>
    </row>
    <row r="1657" spans="1:5" ht="30" customHeight="1">
      <c r="A1657" s="6">
        <v>1655</v>
      </c>
      <c r="B1657" s="6" t="str">
        <f>"299420210528180444111078"</f>
        <v>299420210528180444111078</v>
      </c>
      <c r="C1657" s="6" t="s">
        <v>552</v>
      </c>
      <c r="D1657" s="6" t="str">
        <f>"黄陈梅"</f>
        <v>黄陈梅</v>
      </c>
      <c r="E1657" s="6" t="str">
        <f t="shared" si="47"/>
        <v>女</v>
      </c>
    </row>
    <row r="1658" spans="1:5" ht="30" customHeight="1">
      <c r="A1658" s="6">
        <v>1656</v>
      </c>
      <c r="B1658" s="6" t="str">
        <f>"299420210528180517111079"</f>
        <v>299420210528180517111079</v>
      </c>
      <c r="C1658" s="6" t="s">
        <v>552</v>
      </c>
      <c r="D1658" s="6" t="str">
        <f>"周晓红"</f>
        <v>周晓红</v>
      </c>
      <c r="E1658" s="6" t="str">
        <f t="shared" si="47"/>
        <v>女</v>
      </c>
    </row>
    <row r="1659" spans="1:5" ht="30" customHeight="1">
      <c r="A1659" s="6">
        <v>1657</v>
      </c>
      <c r="B1659" s="6" t="str">
        <f>"299420210528181650111094"</f>
        <v>299420210528181650111094</v>
      </c>
      <c r="C1659" s="6" t="s">
        <v>552</v>
      </c>
      <c r="D1659" s="6" t="str">
        <f>"夏亚玉"</f>
        <v>夏亚玉</v>
      </c>
      <c r="E1659" s="6" t="str">
        <f t="shared" si="47"/>
        <v>女</v>
      </c>
    </row>
    <row r="1660" spans="1:5" ht="30" customHeight="1">
      <c r="A1660" s="6">
        <v>1658</v>
      </c>
      <c r="B1660" s="6" t="str">
        <f>"299420210528182735111103"</f>
        <v>299420210528182735111103</v>
      </c>
      <c r="C1660" s="6" t="s">
        <v>552</v>
      </c>
      <c r="D1660" s="6" t="str">
        <f>"麦晓星"</f>
        <v>麦晓星</v>
      </c>
      <c r="E1660" s="6" t="str">
        <f t="shared" si="47"/>
        <v>女</v>
      </c>
    </row>
    <row r="1661" spans="1:5" ht="30" customHeight="1">
      <c r="A1661" s="6">
        <v>1659</v>
      </c>
      <c r="B1661" s="6" t="str">
        <f>"299420210528184300111112"</f>
        <v>299420210528184300111112</v>
      </c>
      <c r="C1661" s="6" t="s">
        <v>552</v>
      </c>
      <c r="D1661" s="6" t="str">
        <f>"李秋盈"</f>
        <v>李秋盈</v>
      </c>
      <c r="E1661" s="6" t="str">
        <f t="shared" si="47"/>
        <v>女</v>
      </c>
    </row>
    <row r="1662" spans="1:5" ht="30" customHeight="1">
      <c r="A1662" s="6">
        <v>1660</v>
      </c>
      <c r="B1662" s="6" t="str">
        <f>"299420210528191252111150"</f>
        <v>299420210528191252111150</v>
      </c>
      <c r="C1662" s="6" t="s">
        <v>552</v>
      </c>
      <c r="D1662" s="6" t="str">
        <f>"王芯颖"</f>
        <v>王芯颖</v>
      </c>
      <c r="E1662" s="6" t="str">
        <f t="shared" si="47"/>
        <v>女</v>
      </c>
    </row>
    <row r="1663" spans="1:5" ht="30" customHeight="1">
      <c r="A1663" s="6">
        <v>1661</v>
      </c>
      <c r="B1663" s="6" t="str">
        <f>"299420210528191412111152"</f>
        <v>299420210528191412111152</v>
      </c>
      <c r="C1663" s="6" t="s">
        <v>552</v>
      </c>
      <c r="D1663" s="6" t="str">
        <f>"李洁莹"</f>
        <v>李洁莹</v>
      </c>
      <c r="E1663" s="6" t="str">
        <f t="shared" si="47"/>
        <v>女</v>
      </c>
    </row>
    <row r="1664" spans="1:5" ht="30" customHeight="1">
      <c r="A1664" s="6">
        <v>1662</v>
      </c>
      <c r="B1664" s="6" t="str">
        <f>"299420210528193040111163"</f>
        <v>299420210528193040111163</v>
      </c>
      <c r="C1664" s="6" t="s">
        <v>552</v>
      </c>
      <c r="D1664" s="6" t="str">
        <f>"吴雪萍"</f>
        <v>吴雪萍</v>
      </c>
      <c r="E1664" s="6" t="str">
        <f t="shared" si="47"/>
        <v>女</v>
      </c>
    </row>
    <row r="1665" spans="1:5" ht="30" customHeight="1">
      <c r="A1665" s="6">
        <v>1663</v>
      </c>
      <c r="B1665" s="6" t="str">
        <f>"299420210528193118111164"</f>
        <v>299420210528193118111164</v>
      </c>
      <c r="C1665" s="6" t="s">
        <v>552</v>
      </c>
      <c r="D1665" s="6" t="str">
        <f>"林仙"</f>
        <v>林仙</v>
      </c>
      <c r="E1665" s="6" t="str">
        <f t="shared" si="47"/>
        <v>女</v>
      </c>
    </row>
    <row r="1666" spans="1:5" ht="30" customHeight="1">
      <c r="A1666" s="6">
        <v>1664</v>
      </c>
      <c r="B1666" s="6" t="str">
        <f>"299420210528194235111172"</f>
        <v>299420210528194235111172</v>
      </c>
      <c r="C1666" s="6" t="s">
        <v>552</v>
      </c>
      <c r="D1666" s="6" t="str">
        <f>"刘娟"</f>
        <v>刘娟</v>
      </c>
      <c r="E1666" s="6" t="str">
        <f t="shared" si="47"/>
        <v>女</v>
      </c>
    </row>
    <row r="1667" spans="1:5" ht="30" customHeight="1">
      <c r="A1667" s="6">
        <v>1665</v>
      </c>
      <c r="B1667" s="6" t="str">
        <f>"299420210528195418111183"</f>
        <v>299420210528195418111183</v>
      </c>
      <c r="C1667" s="6" t="s">
        <v>552</v>
      </c>
      <c r="D1667" s="6" t="str">
        <f>"李莹莹"</f>
        <v>李莹莹</v>
      </c>
      <c r="E1667" s="6" t="str">
        <f t="shared" si="47"/>
        <v>女</v>
      </c>
    </row>
    <row r="1668" spans="1:5" ht="30" customHeight="1">
      <c r="A1668" s="6">
        <v>1666</v>
      </c>
      <c r="B1668" s="6" t="str">
        <f>"299420210528203901111212"</f>
        <v>299420210528203901111212</v>
      </c>
      <c r="C1668" s="6" t="s">
        <v>552</v>
      </c>
      <c r="D1668" s="6" t="str">
        <f>"周亚兰"</f>
        <v>周亚兰</v>
      </c>
      <c r="E1668" s="6" t="str">
        <f t="shared" si="47"/>
        <v>女</v>
      </c>
    </row>
    <row r="1669" spans="1:5" ht="30" customHeight="1">
      <c r="A1669" s="6">
        <v>1667</v>
      </c>
      <c r="B1669" s="6" t="str">
        <f>"299420210528204751111225"</f>
        <v>299420210528204751111225</v>
      </c>
      <c r="C1669" s="6" t="s">
        <v>552</v>
      </c>
      <c r="D1669" s="6" t="str">
        <f>"王翠茹"</f>
        <v>王翠茹</v>
      </c>
      <c r="E1669" s="6" t="str">
        <f t="shared" si="47"/>
        <v>女</v>
      </c>
    </row>
    <row r="1670" spans="1:5" ht="30" customHeight="1">
      <c r="A1670" s="6">
        <v>1668</v>
      </c>
      <c r="B1670" s="6" t="str">
        <f>"299420210528210216111237"</f>
        <v>299420210528210216111237</v>
      </c>
      <c r="C1670" s="6" t="s">
        <v>552</v>
      </c>
      <c r="D1670" s="6" t="str">
        <f>"李颖"</f>
        <v>李颖</v>
      </c>
      <c r="E1670" s="6" t="str">
        <f t="shared" si="47"/>
        <v>女</v>
      </c>
    </row>
    <row r="1671" spans="1:5" ht="30" customHeight="1">
      <c r="A1671" s="6">
        <v>1669</v>
      </c>
      <c r="B1671" s="6" t="str">
        <f>"299420210528211151111245"</f>
        <v>299420210528211151111245</v>
      </c>
      <c r="C1671" s="6" t="s">
        <v>552</v>
      </c>
      <c r="D1671" s="6" t="str">
        <f>"钱小云"</f>
        <v>钱小云</v>
      </c>
      <c r="E1671" s="6" t="str">
        <f t="shared" si="47"/>
        <v>女</v>
      </c>
    </row>
    <row r="1672" spans="1:5" ht="30" customHeight="1">
      <c r="A1672" s="6">
        <v>1670</v>
      </c>
      <c r="B1672" s="6" t="str">
        <f>"299420210528211843111252"</f>
        <v>299420210528211843111252</v>
      </c>
      <c r="C1672" s="6" t="s">
        <v>552</v>
      </c>
      <c r="D1672" s="6" t="str">
        <f>"符霞萍"</f>
        <v>符霞萍</v>
      </c>
      <c r="E1672" s="6" t="str">
        <f t="shared" si="47"/>
        <v>女</v>
      </c>
    </row>
    <row r="1673" spans="1:5" ht="30" customHeight="1">
      <c r="A1673" s="6">
        <v>1671</v>
      </c>
      <c r="B1673" s="6" t="str">
        <f>"299420210528213138111265"</f>
        <v>299420210528213138111265</v>
      </c>
      <c r="C1673" s="6" t="s">
        <v>552</v>
      </c>
      <c r="D1673" s="6" t="str">
        <f>"洪倩"</f>
        <v>洪倩</v>
      </c>
      <c r="E1673" s="6" t="str">
        <f t="shared" si="47"/>
        <v>女</v>
      </c>
    </row>
    <row r="1674" spans="1:5" ht="30" customHeight="1">
      <c r="A1674" s="6">
        <v>1672</v>
      </c>
      <c r="B1674" s="6" t="str">
        <f>"299420210528214350111272"</f>
        <v>299420210528214350111272</v>
      </c>
      <c r="C1674" s="6" t="s">
        <v>552</v>
      </c>
      <c r="D1674" s="6" t="str">
        <f>" 唐敏燕"</f>
        <v> 唐敏燕</v>
      </c>
      <c r="E1674" s="6" t="str">
        <f t="shared" si="47"/>
        <v>女</v>
      </c>
    </row>
    <row r="1675" spans="1:5" ht="30" customHeight="1">
      <c r="A1675" s="6">
        <v>1673</v>
      </c>
      <c r="B1675" s="6" t="str">
        <f>"299420210528220222111289"</f>
        <v>299420210528220222111289</v>
      </c>
      <c r="C1675" s="6" t="s">
        <v>552</v>
      </c>
      <c r="D1675" s="6" t="str">
        <f>"陈蒙蒙"</f>
        <v>陈蒙蒙</v>
      </c>
      <c r="E1675" s="6" t="str">
        <f t="shared" si="47"/>
        <v>女</v>
      </c>
    </row>
    <row r="1676" spans="1:5" ht="30" customHeight="1">
      <c r="A1676" s="6">
        <v>1674</v>
      </c>
      <c r="B1676" s="6" t="str">
        <f>"299420210528221422111305"</f>
        <v>299420210528221422111305</v>
      </c>
      <c r="C1676" s="6" t="s">
        <v>552</v>
      </c>
      <c r="D1676" s="6" t="str">
        <f>"王捷"</f>
        <v>王捷</v>
      </c>
      <c r="E1676" s="6" t="str">
        <f t="shared" si="47"/>
        <v>女</v>
      </c>
    </row>
    <row r="1677" spans="1:5" ht="30" customHeight="1">
      <c r="A1677" s="6">
        <v>1675</v>
      </c>
      <c r="B1677" s="6" t="str">
        <f>"299420210528221450111306"</f>
        <v>299420210528221450111306</v>
      </c>
      <c r="C1677" s="6" t="s">
        <v>552</v>
      </c>
      <c r="D1677" s="6" t="str">
        <f>"吴敏"</f>
        <v>吴敏</v>
      </c>
      <c r="E1677" s="6" t="str">
        <f t="shared" si="47"/>
        <v>女</v>
      </c>
    </row>
    <row r="1678" spans="1:5" ht="30" customHeight="1">
      <c r="A1678" s="6">
        <v>1676</v>
      </c>
      <c r="B1678" s="6" t="str">
        <f>"299420210528221650111308"</f>
        <v>299420210528221650111308</v>
      </c>
      <c r="C1678" s="6" t="s">
        <v>552</v>
      </c>
      <c r="D1678" s="6" t="str">
        <f>"郑瑶"</f>
        <v>郑瑶</v>
      </c>
      <c r="E1678" s="6" t="str">
        <f t="shared" si="47"/>
        <v>女</v>
      </c>
    </row>
    <row r="1679" spans="1:5" ht="30" customHeight="1">
      <c r="A1679" s="6">
        <v>1677</v>
      </c>
      <c r="B1679" s="6" t="str">
        <f>"299420210528221913111309"</f>
        <v>299420210528221913111309</v>
      </c>
      <c r="C1679" s="6" t="s">
        <v>552</v>
      </c>
      <c r="D1679" s="6" t="str">
        <f>"陈伊果"</f>
        <v>陈伊果</v>
      </c>
      <c r="E1679" s="6" t="str">
        <f t="shared" si="47"/>
        <v>女</v>
      </c>
    </row>
    <row r="1680" spans="1:5" ht="30" customHeight="1">
      <c r="A1680" s="6">
        <v>1678</v>
      </c>
      <c r="B1680" s="6" t="str">
        <f>"299420210528223300111320"</f>
        <v>299420210528223300111320</v>
      </c>
      <c r="C1680" s="6" t="s">
        <v>552</v>
      </c>
      <c r="D1680" s="6" t="str">
        <f>"李礼珍"</f>
        <v>李礼珍</v>
      </c>
      <c r="E1680" s="6" t="str">
        <f t="shared" si="47"/>
        <v>女</v>
      </c>
    </row>
    <row r="1681" spans="1:5" ht="30" customHeight="1">
      <c r="A1681" s="6">
        <v>1679</v>
      </c>
      <c r="B1681" s="6" t="str">
        <f>"299420210528224436111329"</f>
        <v>299420210528224436111329</v>
      </c>
      <c r="C1681" s="6" t="s">
        <v>552</v>
      </c>
      <c r="D1681" s="6" t="str">
        <f>"文丹"</f>
        <v>文丹</v>
      </c>
      <c r="E1681" s="6" t="str">
        <f t="shared" si="47"/>
        <v>女</v>
      </c>
    </row>
    <row r="1682" spans="1:5" ht="30" customHeight="1">
      <c r="A1682" s="6">
        <v>1680</v>
      </c>
      <c r="B1682" s="6" t="str">
        <f>"299420210528224504111331"</f>
        <v>299420210528224504111331</v>
      </c>
      <c r="C1682" s="6" t="s">
        <v>552</v>
      </c>
      <c r="D1682" s="6" t="str">
        <f>"郑萍"</f>
        <v>郑萍</v>
      </c>
      <c r="E1682" s="6" t="str">
        <f t="shared" si="47"/>
        <v>女</v>
      </c>
    </row>
    <row r="1683" spans="1:5" ht="30" customHeight="1">
      <c r="A1683" s="6">
        <v>1681</v>
      </c>
      <c r="B1683" s="6" t="str">
        <f>"299420210528231152111349"</f>
        <v>299420210528231152111349</v>
      </c>
      <c r="C1683" s="6" t="s">
        <v>552</v>
      </c>
      <c r="D1683" s="6" t="str">
        <f>"宋鸿艳"</f>
        <v>宋鸿艳</v>
      </c>
      <c r="E1683" s="6" t="str">
        <f t="shared" si="47"/>
        <v>女</v>
      </c>
    </row>
    <row r="1684" spans="1:5" ht="30" customHeight="1">
      <c r="A1684" s="6">
        <v>1682</v>
      </c>
      <c r="B1684" s="6" t="str">
        <f>"299420210528231329111354"</f>
        <v>299420210528231329111354</v>
      </c>
      <c r="C1684" s="6" t="s">
        <v>552</v>
      </c>
      <c r="D1684" s="6" t="str">
        <f>"庞凤蕊"</f>
        <v>庞凤蕊</v>
      </c>
      <c r="E1684" s="6" t="str">
        <f t="shared" si="47"/>
        <v>女</v>
      </c>
    </row>
    <row r="1685" spans="1:5" ht="30" customHeight="1">
      <c r="A1685" s="6">
        <v>1683</v>
      </c>
      <c r="B1685" s="6" t="str">
        <f>"299420210528231611111355"</f>
        <v>299420210528231611111355</v>
      </c>
      <c r="C1685" s="6" t="s">
        <v>552</v>
      </c>
      <c r="D1685" s="6" t="str">
        <f>"郑燕桂"</f>
        <v>郑燕桂</v>
      </c>
      <c r="E1685" s="6" t="str">
        <f t="shared" si="47"/>
        <v>女</v>
      </c>
    </row>
    <row r="1686" spans="1:5" ht="30" customHeight="1">
      <c r="A1686" s="6">
        <v>1684</v>
      </c>
      <c r="B1686" s="6" t="str">
        <f>"299420210528232858111360"</f>
        <v>299420210528232858111360</v>
      </c>
      <c r="C1686" s="6" t="s">
        <v>552</v>
      </c>
      <c r="D1686" s="6" t="str">
        <f>"苏莉莉"</f>
        <v>苏莉莉</v>
      </c>
      <c r="E1686" s="6" t="str">
        <f t="shared" si="47"/>
        <v>女</v>
      </c>
    </row>
    <row r="1687" spans="1:5" ht="30" customHeight="1">
      <c r="A1687" s="6">
        <v>1685</v>
      </c>
      <c r="B1687" s="6" t="str">
        <f>"299420210528233656111363"</f>
        <v>299420210528233656111363</v>
      </c>
      <c r="C1687" s="6" t="s">
        <v>552</v>
      </c>
      <c r="D1687" s="6" t="str">
        <f>"邢欣"</f>
        <v>邢欣</v>
      </c>
      <c r="E1687" s="6" t="str">
        <f t="shared" si="47"/>
        <v>女</v>
      </c>
    </row>
    <row r="1688" spans="1:5" ht="30" customHeight="1">
      <c r="A1688" s="6">
        <v>1686</v>
      </c>
      <c r="B1688" s="6" t="str">
        <f>"299420210528234221111366"</f>
        <v>299420210528234221111366</v>
      </c>
      <c r="C1688" s="6" t="s">
        <v>552</v>
      </c>
      <c r="D1688" s="6" t="str">
        <f>"倪协燕"</f>
        <v>倪协燕</v>
      </c>
      <c r="E1688" s="6" t="str">
        <f t="shared" si="47"/>
        <v>女</v>
      </c>
    </row>
    <row r="1689" spans="1:5" ht="30" customHeight="1">
      <c r="A1689" s="6">
        <v>1687</v>
      </c>
      <c r="B1689" s="6" t="str">
        <f>"299420210528234515111368"</f>
        <v>299420210528234515111368</v>
      </c>
      <c r="C1689" s="6" t="s">
        <v>552</v>
      </c>
      <c r="D1689" s="6" t="str">
        <f>"梁嘉持"</f>
        <v>梁嘉持</v>
      </c>
      <c r="E1689" s="6" t="str">
        <f t="shared" si="47"/>
        <v>女</v>
      </c>
    </row>
    <row r="1690" spans="1:5" ht="30" customHeight="1">
      <c r="A1690" s="6">
        <v>1688</v>
      </c>
      <c r="B1690" s="6" t="str">
        <f>"299420210528235907111378"</f>
        <v>299420210528235907111378</v>
      </c>
      <c r="C1690" s="6" t="s">
        <v>552</v>
      </c>
      <c r="D1690" s="6" t="str">
        <f>"何影"</f>
        <v>何影</v>
      </c>
      <c r="E1690" s="6" t="str">
        <f t="shared" si="47"/>
        <v>女</v>
      </c>
    </row>
    <row r="1691" spans="1:5" ht="30" customHeight="1">
      <c r="A1691" s="6">
        <v>1689</v>
      </c>
      <c r="B1691" s="6" t="str">
        <f>"299420210529001151111382"</f>
        <v>299420210529001151111382</v>
      </c>
      <c r="C1691" s="6" t="s">
        <v>552</v>
      </c>
      <c r="D1691" s="6" t="str">
        <f>"陈姝妍"</f>
        <v>陈姝妍</v>
      </c>
      <c r="E1691" s="6" t="str">
        <f t="shared" si="47"/>
        <v>女</v>
      </c>
    </row>
    <row r="1692" spans="1:5" ht="30" customHeight="1">
      <c r="A1692" s="6">
        <v>1690</v>
      </c>
      <c r="B1692" s="6" t="str">
        <f>"299420210529065724111404"</f>
        <v>299420210529065724111404</v>
      </c>
      <c r="C1692" s="6" t="s">
        <v>552</v>
      </c>
      <c r="D1692" s="6" t="str">
        <f>"吴丽敏"</f>
        <v>吴丽敏</v>
      </c>
      <c r="E1692" s="6" t="str">
        <f t="shared" si="47"/>
        <v>女</v>
      </c>
    </row>
    <row r="1693" spans="1:5" ht="30" customHeight="1">
      <c r="A1693" s="6">
        <v>1691</v>
      </c>
      <c r="B1693" s="6" t="str">
        <f>"299420210529072019111405"</f>
        <v>299420210529072019111405</v>
      </c>
      <c r="C1693" s="6" t="s">
        <v>552</v>
      </c>
      <c r="D1693" s="6" t="str">
        <f>"许玲"</f>
        <v>许玲</v>
      </c>
      <c r="E1693" s="6" t="str">
        <f t="shared" si="47"/>
        <v>女</v>
      </c>
    </row>
    <row r="1694" spans="1:5" ht="30" customHeight="1">
      <c r="A1694" s="6">
        <v>1692</v>
      </c>
      <c r="B1694" s="6" t="str">
        <f>"299420210529074535111408"</f>
        <v>299420210529074535111408</v>
      </c>
      <c r="C1694" s="6" t="s">
        <v>552</v>
      </c>
      <c r="D1694" s="6" t="str">
        <f>"李敏"</f>
        <v>李敏</v>
      </c>
      <c r="E1694" s="6" t="str">
        <f t="shared" si="47"/>
        <v>女</v>
      </c>
    </row>
    <row r="1695" spans="1:5" ht="30" customHeight="1">
      <c r="A1695" s="6">
        <v>1693</v>
      </c>
      <c r="B1695" s="6" t="str">
        <f>"299420210529074907111409"</f>
        <v>299420210529074907111409</v>
      </c>
      <c r="C1695" s="6" t="s">
        <v>552</v>
      </c>
      <c r="D1695" s="6" t="str">
        <f>"李彬彬"</f>
        <v>李彬彬</v>
      </c>
      <c r="E1695" s="6" t="str">
        <f t="shared" si="47"/>
        <v>女</v>
      </c>
    </row>
    <row r="1696" spans="1:5" ht="30" customHeight="1">
      <c r="A1696" s="6">
        <v>1694</v>
      </c>
      <c r="B1696" s="6" t="str">
        <f>"299420210529075104111410"</f>
        <v>299420210529075104111410</v>
      </c>
      <c r="C1696" s="6" t="s">
        <v>552</v>
      </c>
      <c r="D1696" s="6" t="str">
        <f>"罗才漾"</f>
        <v>罗才漾</v>
      </c>
      <c r="E1696" s="6" t="str">
        <f t="shared" si="47"/>
        <v>女</v>
      </c>
    </row>
    <row r="1697" spans="1:5" ht="30" customHeight="1">
      <c r="A1697" s="6">
        <v>1695</v>
      </c>
      <c r="B1697" s="6" t="str">
        <f>"299420210529083520111420"</f>
        <v>299420210529083520111420</v>
      </c>
      <c r="C1697" s="6" t="s">
        <v>552</v>
      </c>
      <c r="D1697" s="6" t="str">
        <f>"王琼莹"</f>
        <v>王琼莹</v>
      </c>
      <c r="E1697" s="6" t="str">
        <f t="shared" si="47"/>
        <v>女</v>
      </c>
    </row>
    <row r="1698" spans="1:5" ht="30" customHeight="1">
      <c r="A1698" s="6">
        <v>1696</v>
      </c>
      <c r="B1698" s="6" t="str">
        <f>"299420210529083637111421"</f>
        <v>299420210529083637111421</v>
      </c>
      <c r="C1698" s="6" t="s">
        <v>552</v>
      </c>
      <c r="D1698" s="6" t="str">
        <f>"裴登静"</f>
        <v>裴登静</v>
      </c>
      <c r="E1698" s="6" t="str">
        <f t="shared" si="47"/>
        <v>女</v>
      </c>
    </row>
    <row r="1699" spans="1:5" ht="30" customHeight="1">
      <c r="A1699" s="6">
        <v>1697</v>
      </c>
      <c r="B1699" s="6" t="str">
        <f>"299420210529085920111431"</f>
        <v>299420210529085920111431</v>
      </c>
      <c r="C1699" s="6" t="s">
        <v>552</v>
      </c>
      <c r="D1699" s="6" t="str">
        <f>"卢裕苗"</f>
        <v>卢裕苗</v>
      </c>
      <c r="E1699" s="6" t="str">
        <f t="shared" si="47"/>
        <v>女</v>
      </c>
    </row>
    <row r="1700" spans="1:5" ht="30" customHeight="1">
      <c r="A1700" s="6">
        <v>1698</v>
      </c>
      <c r="B1700" s="6" t="str">
        <f>"299420210529093335111445"</f>
        <v>299420210529093335111445</v>
      </c>
      <c r="C1700" s="6" t="s">
        <v>552</v>
      </c>
      <c r="D1700" s="6" t="str">
        <f>"符玉湘"</f>
        <v>符玉湘</v>
      </c>
      <c r="E1700" s="6" t="str">
        <f t="shared" si="47"/>
        <v>女</v>
      </c>
    </row>
    <row r="1701" spans="1:5" ht="30" customHeight="1">
      <c r="A1701" s="6">
        <v>1699</v>
      </c>
      <c r="B1701" s="6" t="str">
        <f>"299420210529093856111451"</f>
        <v>299420210529093856111451</v>
      </c>
      <c r="C1701" s="6" t="s">
        <v>552</v>
      </c>
      <c r="D1701" s="6" t="str">
        <f>"谢锦芬"</f>
        <v>谢锦芬</v>
      </c>
      <c r="E1701" s="6" t="str">
        <f t="shared" si="47"/>
        <v>女</v>
      </c>
    </row>
    <row r="1702" spans="1:5" ht="30" customHeight="1">
      <c r="A1702" s="6">
        <v>1700</v>
      </c>
      <c r="B1702" s="6" t="str">
        <f>"299420210529103413111495"</f>
        <v>299420210529103413111495</v>
      </c>
      <c r="C1702" s="6" t="s">
        <v>552</v>
      </c>
      <c r="D1702" s="6" t="str">
        <f>"李雪冰"</f>
        <v>李雪冰</v>
      </c>
      <c r="E1702" s="6" t="str">
        <f t="shared" si="47"/>
        <v>女</v>
      </c>
    </row>
    <row r="1703" spans="1:5" ht="30" customHeight="1">
      <c r="A1703" s="6">
        <v>1701</v>
      </c>
      <c r="B1703" s="6" t="str">
        <f>"299420210529104436111505"</f>
        <v>299420210529104436111505</v>
      </c>
      <c r="C1703" s="6" t="s">
        <v>552</v>
      </c>
      <c r="D1703" s="6" t="str">
        <f>"张颖 "</f>
        <v>张颖 </v>
      </c>
      <c r="E1703" s="6" t="str">
        <f t="shared" si="47"/>
        <v>女</v>
      </c>
    </row>
    <row r="1704" spans="1:5" ht="30" customHeight="1">
      <c r="A1704" s="6">
        <v>1702</v>
      </c>
      <c r="B1704" s="6" t="str">
        <f>"299420210529104550111507"</f>
        <v>299420210529104550111507</v>
      </c>
      <c r="C1704" s="6" t="s">
        <v>552</v>
      </c>
      <c r="D1704" s="6" t="str">
        <f>"王丽"</f>
        <v>王丽</v>
      </c>
      <c r="E1704" s="6" t="str">
        <f t="shared" si="47"/>
        <v>女</v>
      </c>
    </row>
    <row r="1705" spans="1:5" ht="30" customHeight="1">
      <c r="A1705" s="6">
        <v>1703</v>
      </c>
      <c r="B1705" s="6" t="str">
        <f>"299420210529104551111508"</f>
        <v>299420210529104551111508</v>
      </c>
      <c r="C1705" s="6" t="s">
        <v>552</v>
      </c>
      <c r="D1705" s="6" t="str">
        <f>"苏兰花"</f>
        <v>苏兰花</v>
      </c>
      <c r="E1705" s="6" t="str">
        <f aca="true" t="shared" si="48" ref="E1705:E1720">"女"</f>
        <v>女</v>
      </c>
    </row>
    <row r="1706" spans="1:5" ht="30" customHeight="1">
      <c r="A1706" s="6">
        <v>1704</v>
      </c>
      <c r="B1706" s="6" t="str">
        <f>"299420210529105014111516"</f>
        <v>299420210529105014111516</v>
      </c>
      <c r="C1706" s="6" t="s">
        <v>552</v>
      </c>
      <c r="D1706" s="6" t="str">
        <f>"张曼"</f>
        <v>张曼</v>
      </c>
      <c r="E1706" s="6" t="str">
        <f t="shared" si="48"/>
        <v>女</v>
      </c>
    </row>
    <row r="1707" spans="1:5" ht="30" customHeight="1">
      <c r="A1707" s="6">
        <v>1705</v>
      </c>
      <c r="B1707" s="6" t="str">
        <f>"299420210529105225111519"</f>
        <v>299420210529105225111519</v>
      </c>
      <c r="C1707" s="6" t="s">
        <v>552</v>
      </c>
      <c r="D1707" s="6" t="str">
        <f>"李德萍"</f>
        <v>李德萍</v>
      </c>
      <c r="E1707" s="6" t="str">
        <f t="shared" si="48"/>
        <v>女</v>
      </c>
    </row>
    <row r="1708" spans="1:5" ht="30" customHeight="1">
      <c r="A1708" s="6">
        <v>1706</v>
      </c>
      <c r="B1708" s="6" t="str">
        <f>"299420210529110347111530"</f>
        <v>299420210529110347111530</v>
      </c>
      <c r="C1708" s="6" t="s">
        <v>552</v>
      </c>
      <c r="D1708" s="6" t="str">
        <f>"林钰"</f>
        <v>林钰</v>
      </c>
      <c r="E1708" s="6" t="str">
        <f t="shared" si="48"/>
        <v>女</v>
      </c>
    </row>
    <row r="1709" spans="1:5" ht="30" customHeight="1">
      <c r="A1709" s="6">
        <v>1707</v>
      </c>
      <c r="B1709" s="6" t="str">
        <f>"299420210529110646111532"</f>
        <v>299420210529110646111532</v>
      </c>
      <c r="C1709" s="6" t="s">
        <v>552</v>
      </c>
      <c r="D1709" s="6" t="str">
        <f>"田卫平"</f>
        <v>田卫平</v>
      </c>
      <c r="E1709" s="6" t="str">
        <f t="shared" si="48"/>
        <v>女</v>
      </c>
    </row>
    <row r="1710" spans="1:5" ht="30" customHeight="1">
      <c r="A1710" s="6">
        <v>1708</v>
      </c>
      <c r="B1710" s="6" t="str">
        <f>"299420210529112246111550"</f>
        <v>299420210529112246111550</v>
      </c>
      <c r="C1710" s="6" t="s">
        <v>552</v>
      </c>
      <c r="D1710" s="6" t="str">
        <f>"吴初交"</f>
        <v>吴初交</v>
      </c>
      <c r="E1710" s="6" t="str">
        <f t="shared" si="48"/>
        <v>女</v>
      </c>
    </row>
    <row r="1711" spans="1:5" ht="30" customHeight="1">
      <c r="A1711" s="6">
        <v>1709</v>
      </c>
      <c r="B1711" s="6" t="str">
        <f>"299420210529114338111575"</f>
        <v>299420210529114338111575</v>
      </c>
      <c r="C1711" s="6" t="s">
        <v>552</v>
      </c>
      <c r="D1711" s="6" t="str">
        <f>"蒙环贞"</f>
        <v>蒙环贞</v>
      </c>
      <c r="E1711" s="6" t="str">
        <f t="shared" si="48"/>
        <v>女</v>
      </c>
    </row>
    <row r="1712" spans="1:5" ht="30" customHeight="1">
      <c r="A1712" s="6">
        <v>1710</v>
      </c>
      <c r="B1712" s="6" t="str">
        <f>"299420210529120414111591"</f>
        <v>299420210529120414111591</v>
      </c>
      <c r="C1712" s="6" t="s">
        <v>552</v>
      </c>
      <c r="D1712" s="6" t="str">
        <f>"万丽桃"</f>
        <v>万丽桃</v>
      </c>
      <c r="E1712" s="6" t="str">
        <f t="shared" si="48"/>
        <v>女</v>
      </c>
    </row>
    <row r="1713" spans="1:5" ht="30" customHeight="1">
      <c r="A1713" s="6">
        <v>1711</v>
      </c>
      <c r="B1713" s="6" t="str">
        <f>"299420210529120741111595"</f>
        <v>299420210529120741111595</v>
      </c>
      <c r="C1713" s="6" t="s">
        <v>552</v>
      </c>
      <c r="D1713" s="6" t="str">
        <f>"庄媛"</f>
        <v>庄媛</v>
      </c>
      <c r="E1713" s="6" t="str">
        <f t="shared" si="48"/>
        <v>女</v>
      </c>
    </row>
    <row r="1714" spans="1:5" ht="30" customHeight="1">
      <c r="A1714" s="6">
        <v>1712</v>
      </c>
      <c r="B1714" s="6" t="str">
        <f>"299420210529122748111605"</f>
        <v>299420210529122748111605</v>
      </c>
      <c r="C1714" s="6" t="s">
        <v>552</v>
      </c>
      <c r="D1714" s="6" t="str">
        <f>"林杨柳"</f>
        <v>林杨柳</v>
      </c>
      <c r="E1714" s="6" t="str">
        <f t="shared" si="48"/>
        <v>女</v>
      </c>
    </row>
    <row r="1715" spans="1:5" ht="30" customHeight="1">
      <c r="A1715" s="6">
        <v>1713</v>
      </c>
      <c r="B1715" s="6" t="str">
        <f>"299420210529123201111610"</f>
        <v>299420210529123201111610</v>
      </c>
      <c r="C1715" s="6" t="s">
        <v>552</v>
      </c>
      <c r="D1715" s="6" t="str">
        <f>"何文文"</f>
        <v>何文文</v>
      </c>
      <c r="E1715" s="6" t="str">
        <f t="shared" si="48"/>
        <v>女</v>
      </c>
    </row>
    <row r="1716" spans="1:5" ht="30" customHeight="1">
      <c r="A1716" s="6">
        <v>1714</v>
      </c>
      <c r="B1716" s="6" t="str">
        <f>"299420210529125925111624"</f>
        <v>299420210529125925111624</v>
      </c>
      <c r="C1716" s="6" t="s">
        <v>552</v>
      </c>
      <c r="D1716" s="6" t="str">
        <f>"周海蓉"</f>
        <v>周海蓉</v>
      </c>
      <c r="E1716" s="6" t="str">
        <f t="shared" si="48"/>
        <v>女</v>
      </c>
    </row>
    <row r="1717" spans="1:5" ht="30" customHeight="1">
      <c r="A1717" s="6">
        <v>1715</v>
      </c>
      <c r="B1717" s="6" t="str">
        <f>"299420210529130953111633"</f>
        <v>299420210529130953111633</v>
      </c>
      <c r="C1717" s="6" t="s">
        <v>552</v>
      </c>
      <c r="D1717" s="6" t="str">
        <f>"韩冬丽"</f>
        <v>韩冬丽</v>
      </c>
      <c r="E1717" s="6" t="str">
        <f t="shared" si="48"/>
        <v>女</v>
      </c>
    </row>
    <row r="1718" spans="1:5" ht="30" customHeight="1">
      <c r="A1718" s="6">
        <v>1716</v>
      </c>
      <c r="B1718" s="6" t="str">
        <f>"299420210529131011111634"</f>
        <v>299420210529131011111634</v>
      </c>
      <c r="C1718" s="6" t="s">
        <v>552</v>
      </c>
      <c r="D1718" s="6" t="str">
        <f>"李丽那"</f>
        <v>李丽那</v>
      </c>
      <c r="E1718" s="6" t="str">
        <f t="shared" si="48"/>
        <v>女</v>
      </c>
    </row>
    <row r="1719" spans="1:5" ht="30" customHeight="1">
      <c r="A1719" s="6">
        <v>1717</v>
      </c>
      <c r="B1719" s="6" t="str">
        <f>"299420210529132701111650"</f>
        <v>299420210529132701111650</v>
      </c>
      <c r="C1719" s="6" t="s">
        <v>552</v>
      </c>
      <c r="D1719" s="6" t="str">
        <f>"谢慧"</f>
        <v>谢慧</v>
      </c>
      <c r="E1719" s="6" t="str">
        <f t="shared" si="48"/>
        <v>女</v>
      </c>
    </row>
    <row r="1720" spans="1:5" ht="30" customHeight="1">
      <c r="A1720" s="6">
        <v>1718</v>
      </c>
      <c r="B1720" s="6" t="str">
        <f>"299420210529135356111663"</f>
        <v>299420210529135356111663</v>
      </c>
      <c r="C1720" s="6" t="s">
        <v>552</v>
      </c>
      <c r="D1720" s="6" t="str">
        <f>"陈丹丹"</f>
        <v>陈丹丹</v>
      </c>
      <c r="E1720" s="6" t="str">
        <f t="shared" si="48"/>
        <v>女</v>
      </c>
    </row>
    <row r="1721" spans="1:5" ht="30" customHeight="1">
      <c r="A1721" s="6">
        <v>1719</v>
      </c>
      <c r="B1721" s="6" t="str">
        <f>"299420210529140439111672"</f>
        <v>299420210529140439111672</v>
      </c>
      <c r="C1721" s="6" t="s">
        <v>552</v>
      </c>
      <c r="D1721" s="6" t="str">
        <f>"王柏智"</f>
        <v>王柏智</v>
      </c>
      <c r="E1721" s="6" t="str">
        <f>"男"</f>
        <v>男</v>
      </c>
    </row>
    <row r="1722" spans="1:5" ht="30" customHeight="1">
      <c r="A1722" s="6">
        <v>1720</v>
      </c>
      <c r="B1722" s="6" t="str">
        <f>"299420210529140512111673"</f>
        <v>299420210529140512111673</v>
      </c>
      <c r="C1722" s="6" t="s">
        <v>552</v>
      </c>
      <c r="D1722" s="6" t="str">
        <f>"张露予"</f>
        <v>张露予</v>
      </c>
      <c r="E1722" s="6" t="str">
        <f aca="true" t="shared" si="49" ref="E1722:E1785">"女"</f>
        <v>女</v>
      </c>
    </row>
    <row r="1723" spans="1:5" ht="30" customHeight="1">
      <c r="A1723" s="6">
        <v>1721</v>
      </c>
      <c r="B1723" s="6" t="str">
        <f>"299420210529153611111719"</f>
        <v>299420210529153611111719</v>
      </c>
      <c r="C1723" s="6" t="s">
        <v>552</v>
      </c>
      <c r="D1723" s="6" t="str">
        <f>"严滢"</f>
        <v>严滢</v>
      </c>
      <c r="E1723" s="6" t="str">
        <f t="shared" si="49"/>
        <v>女</v>
      </c>
    </row>
    <row r="1724" spans="1:5" ht="30" customHeight="1">
      <c r="A1724" s="6">
        <v>1722</v>
      </c>
      <c r="B1724" s="6" t="str">
        <f>"299420210529155631111731"</f>
        <v>299420210529155631111731</v>
      </c>
      <c r="C1724" s="6" t="s">
        <v>552</v>
      </c>
      <c r="D1724" s="6" t="str">
        <f>"宁云"</f>
        <v>宁云</v>
      </c>
      <c r="E1724" s="6" t="str">
        <f t="shared" si="49"/>
        <v>女</v>
      </c>
    </row>
    <row r="1725" spans="1:5" ht="30" customHeight="1">
      <c r="A1725" s="6">
        <v>1723</v>
      </c>
      <c r="B1725" s="6" t="str">
        <f>"299420210529155842111732"</f>
        <v>299420210529155842111732</v>
      </c>
      <c r="C1725" s="6" t="s">
        <v>552</v>
      </c>
      <c r="D1725" s="6" t="str">
        <f>"许婷玉"</f>
        <v>许婷玉</v>
      </c>
      <c r="E1725" s="6" t="str">
        <f t="shared" si="49"/>
        <v>女</v>
      </c>
    </row>
    <row r="1726" spans="1:5" ht="30" customHeight="1">
      <c r="A1726" s="6">
        <v>1724</v>
      </c>
      <c r="B1726" s="6" t="str">
        <f>"299420210529161955111744"</f>
        <v>299420210529161955111744</v>
      </c>
      <c r="C1726" s="6" t="s">
        <v>552</v>
      </c>
      <c r="D1726" s="6" t="str">
        <f>"陈恋群"</f>
        <v>陈恋群</v>
      </c>
      <c r="E1726" s="6" t="str">
        <f t="shared" si="49"/>
        <v>女</v>
      </c>
    </row>
    <row r="1727" spans="1:5" ht="30" customHeight="1">
      <c r="A1727" s="6">
        <v>1725</v>
      </c>
      <c r="B1727" s="6" t="str">
        <f>"299420210529162914111752"</f>
        <v>299420210529162914111752</v>
      </c>
      <c r="C1727" s="6" t="s">
        <v>552</v>
      </c>
      <c r="D1727" s="6" t="str">
        <f>"李惠珠"</f>
        <v>李惠珠</v>
      </c>
      <c r="E1727" s="6" t="str">
        <f t="shared" si="49"/>
        <v>女</v>
      </c>
    </row>
    <row r="1728" spans="1:5" ht="30" customHeight="1">
      <c r="A1728" s="6">
        <v>1726</v>
      </c>
      <c r="B1728" s="6" t="str">
        <f>"299420210529173447111786"</f>
        <v>299420210529173447111786</v>
      </c>
      <c r="C1728" s="6" t="s">
        <v>552</v>
      </c>
      <c r="D1728" s="6" t="str">
        <f>"黄永芳"</f>
        <v>黄永芳</v>
      </c>
      <c r="E1728" s="6" t="str">
        <f t="shared" si="49"/>
        <v>女</v>
      </c>
    </row>
    <row r="1729" spans="1:5" ht="30" customHeight="1">
      <c r="A1729" s="6">
        <v>1727</v>
      </c>
      <c r="B1729" s="6" t="str">
        <f>"299420210529174031111793"</f>
        <v>299420210529174031111793</v>
      </c>
      <c r="C1729" s="6" t="s">
        <v>552</v>
      </c>
      <c r="D1729" s="6" t="str">
        <f>"李思谕"</f>
        <v>李思谕</v>
      </c>
      <c r="E1729" s="6" t="str">
        <f t="shared" si="49"/>
        <v>女</v>
      </c>
    </row>
    <row r="1730" spans="1:5" ht="30" customHeight="1">
      <c r="A1730" s="6">
        <v>1728</v>
      </c>
      <c r="B1730" s="6" t="str">
        <f>"299420210529194742111851"</f>
        <v>299420210529194742111851</v>
      </c>
      <c r="C1730" s="6" t="s">
        <v>552</v>
      </c>
      <c r="D1730" s="6" t="str">
        <f>"陈君"</f>
        <v>陈君</v>
      </c>
      <c r="E1730" s="6" t="str">
        <f t="shared" si="49"/>
        <v>女</v>
      </c>
    </row>
    <row r="1731" spans="1:5" ht="30" customHeight="1">
      <c r="A1731" s="6">
        <v>1729</v>
      </c>
      <c r="B1731" s="6" t="str">
        <f>"299420210529195201111856"</f>
        <v>299420210529195201111856</v>
      </c>
      <c r="C1731" s="6" t="s">
        <v>552</v>
      </c>
      <c r="D1731" s="6" t="str">
        <f>"郑丽丽"</f>
        <v>郑丽丽</v>
      </c>
      <c r="E1731" s="6" t="str">
        <f t="shared" si="49"/>
        <v>女</v>
      </c>
    </row>
    <row r="1732" spans="1:5" ht="30" customHeight="1">
      <c r="A1732" s="6">
        <v>1730</v>
      </c>
      <c r="B1732" s="6" t="str">
        <f>"299420210529195942111859"</f>
        <v>299420210529195942111859</v>
      </c>
      <c r="C1732" s="6" t="s">
        <v>552</v>
      </c>
      <c r="D1732" s="6" t="str">
        <f>"洪玉妮"</f>
        <v>洪玉妮</v>
      </c>
      <c r="E1732" s="6" t="str">
        <f t="shared" si="49"/>
        <v>女</v>
      </c>
    </row>
    <row r="1733" spans="1:5" ht="30" customHeight="1">
      <c r="A1733" s="6">
        <v>1731</v>
      </c>
      <c r="B1733" s="6" t="str">
        <f>"299420210529195947111860"</f>
        <v>299420210529195947111860</v>
      </c>
      <c r="C1733" s="6" t="s">
        <v>552</v>
      </c>
      <c r="D1733" s="6" t="str">
        <f>"陈思羽"</f>
        <v>陈思羽</v>
      </c>
      <c r="E1733" s="6" t="str">
        <f t="shared" si="49"/>
        <v>女</v>
      </c>
    </row>
    <row r="1734" spans="1:5" ht="30" customHeight="1">
      <c r="A1734" s="6">
        <v>1732</v>
      </c>
      <c r="B1734" s="6" t="str">
        <f>"299420210529202038111878"</f>
        <v>299420210529202038111878</v>
      </c>
      <c r="C1734" s="6" t="s">
        <v>552</v>
      </c>
      <c r="D1734" s="6" t="str">
        <f>"莫婉茜 "</f>
        <v>莫婉茜 </v>
      </c>
      <c r="E1734" s="6" t="str">
        <f t="shared" si="49"/>
        <v>女</v>
      </c>
    </row>
    <row r="1735" spans="1:5" ht="30" customHeight="1">
      <c r="A1735" s="6">
        <v>1733</v>
      </c>
      <c r="B1735" s="6" t="str">
        <f>"299420210529213035111920"</f>
        <v>299420210529213035111920</v>
      </c>
      <c r="C1735" s="6" t="s">
        <v>552</v>
      </c>
      <c r="D1735" s="6" t="str">
        <f>"何慧芳"</f>
        <v>何慧芳</v>
      </c>
      <c r="E1735" s="6" t="str">
        <f t="shared" si="49"/>
        <v>女</v>
      </c>
    </row>
    <row r="1736" spans="1:5" ht="30" customHeight="1">
      <c r="A1736" s="6">
        <v>1734</v>
      </c>
      <c r="B1736" s="6" t="str">
        <f>"299420210529213055111921"</f>
        <v>299420210529213055111921</v>
      </c>
      <c r="C1736" s="6" t="s">
        <v>552</v>
      </c>
      <c r="D1736" s="6" t="str">
        <f>"田野"</f>
        <v>田野</v>
      </c>
      <c r="E1736" s="6" t="str">
        <f t="shared" si="49"/>
        <v>女</v>
      </c>
    </row>
    <row r="1737" spans="1:5" ht="30" customHeight="1">
      <c r="A1737" s="6">
        <v>1735</v>
      </c>
      <c r="B1737" s="6" t="str">
        <f>"299420210529213242111924"</f>
        <v>299420210529213242111924</v>
      </c>
      <c r="C1737" s="6" t="s">
        <v>552</v>
      </c>
      <c r="D1737" s="6" t="str">
        <f>"李小艳"</f>
        <v>李小艳</v>
      </c>
      <c r="E1737" s="6" t="str">
        <f t="shared" si="49"/>
        <v>女</v>
      </c>
    </row>
    <row r="1738" spans="1:5" ht="30" customHeight="1">
      <c r="A1738" s="6">
        <v>1736</v>
      </c>
      <c r="B1738" s="6" t="str">
        <f>"299420210529220330111946"</f>
        <v>299420210529220330111946</v>
      </c>
      <c r="C1738" s="6" t="s">
        <v>552</v>
      </c>
      <c r="D1738" s="6" t="str">
        <f>"韩丹"</f>
        <v>韩丹</v>
      </c>
      <c r="E1738" s="6" t="str">
        <f t="shared" si="49"/>
        <v>女</v>
      </c>
    </row>
    <row r="1739" spans="1:5" ht="30" customHeight="1">
      <c r="A1739" s="6">
        <v>1737</v>
      </c>
      <c r="B1739" s="6" t="str">
        <f>"299420210529222332111962"</f>
        <v>299420210529222332111962</v>
      </c>
      <c r="C1739" s="6" t="s">
        <v>552</v>
      </c>
      <c r="D1739" s="6" t="str">
        <f>"何月前"</f>
        <v>何月前</v>
      </c>
      <c r="E1739" s="6" t="str">
        <f t="shared" si="49"/>
        <v>女</v>
      </c>
    </row>
    <row r="1740" spans="1:5" ht="30" customHeight="1">
      <c r="A1740" s="6">
        <v>1738</v>
      </c>
      <c r="B1740" s="6" t="str">
        <f>"299420210529222633111967"</f>
        <v>299420210529222633111967</v>
      </c>
      <c r="C1740" s="6" t="s">
        <v>552</v>
      </c>
      <c r="D1740" s="6" t="str">
        <f>"胡灵"</f>
        <v>胡灵</v>
      </c>
      <c r="E1740" s="6" t="str">
        <f t="shared" si="49"/>
        <v>女</v>
      </c>
    </row>
    <row r="1741" spans="1:5" ht="30" customHeight="1">
      <c r="A1741" s="6">
        <v>1739</v>
      </c>
      <c r="B1741" s="6" t="str">
        <f>"299420210529231658112003"</f>
        <v>299420210529231658112003</v>
      </c>
      <c r="C1741" s="6" t="s">
        <v>552</v>
      </c>
      <c r="D1741" s="6" t="str">
        <f>"杨雪"</f>
        <v>杨雪</v>
      </c>
      <c r="E1741" s="6" t="str">
        <f t="shared" si="49"/>
        <v>女</v>
      </c>
    </row>
    <row r="1742" spans="1:5" ht="30" customHeight="1">
      <c r="A1742" s="6">
        <v>1740</v>
      </c>
      <c r="B1742" s="6" t="str">
        <f>"299420210529232419112010"</f>
        <v>299420210529232419112010</v>
      </c>
      <c r="C1742" s="6" t="s">
        <v>552</v>
      </c>
      <c r="D1742" s="6" t="str">
        <f>"詹楚滢"</f>
        <v>詹楚滢</v>
      </c>
      <c r="E1742" s="6" t="str">
        <f t="shared" si="49"/>
        <v>女</v>
      </c>
    </row>
    <row r="1743" spans="1:5" ht="30" customHeight="1">
      <c r="A1743" s="6">
        <v>1741</v>
      </c>
      <c r="B1743" s="6" t="str">
        <f>"299420210529233321112013"</f>
        <v>299420210529233321112013</v>
      </c>
      <c r="C1743" s="6" t="s">
        <v>552</v>
      </c>
      <c r="D1743" s="6" t="str">
        <f>"廖廷秋"</f>
        <v>廖廷秋</v>
      </c>
      <c r="E1743" s="6" t="str">
        <f t="shared" si="49"/>
        <v>女</v>
      </c>
    </row>
    <row r="1744" spans="1:5" ht="30" customHeight="1">
      <c r="A1744" s="6">
        <v>1742</v>
      </c>
      <c r="B1744" s="6" t="str">
        <f>"299420210530001314112030"</f>
        <v>299420210530001314112030</v>
      </c>
      <c r="C1744" s="6" t="s">
        <v>552</v>
      </c>
      <c r="D1744" s="6" t="str">
        <f>"王陆妹"</f>
        <v>王陆妹</v>
      </c>
      <c r="E1744" s="6" t="str">
        <f t="shared" si="49"/>
        <v>女</v>
      </c>
    </row>
    <row r="1745" spans="1:5" ht="30" customHeight="1">
      <c r="A1745" s="6">
        <v>1743</v>
      </c>
      <c r="B1745" s="6" t="str">
        <f>"299420210530002531112035"</f>
        <v>299420210530002531112035</v>
      </c>
      <c r="C1745" s="6" t="s">
        <v>552</v>
      </c>
      <c r="D1745" s="6" t="str">
        <f>"梁飞燕"</f>
        <v>梁飞燕</v>
      </c>
      <c r="E1745" s="6" t="str">
        <f t="shared" si="49"/>
        <v>女</v>
      </c>
    </row>
    <row r="1746" spans="1:5" ht="30" customHeight="1">
      <c r="A1746" s="6">
        <v>1744</v>
      </c>
      <c r="B1746" s="6" t="str">
        <f>"299420210530004251112038"</f>
        <v>299420210530004251112038</v>
      </c>
      <c r="C1746" s="6" t="s">
        <v>552</v>
      </c>
      <c r="D1746" s="6" t="str">
        <f>"李映慧"</f>
        <v>李映慧</v>
      </c>
      <c r="E1746" s="6" t="str">
        <f t="shared" si="49"/>
        <v>女</v>
      </c>
    </row>
    <row r="1747" spans="1:5" ht="30" customHeight="1">
      <c r="A1747" s="6">
        <v>1745</v>
      </c>
      <c r="B1747" s="6" t="str">
        <f>"299420210530010422112045"</f>
        <v>299420210530010422112045</v>
      </c>
      <c r="C1747" s="6" t="s">
        <v>552</v>
      </c>
      <c r="D1747" s="6" t="str">
        <f>"杜倩潼"</f>
        <v>杜倩潼</v>
      </c>
      <c r="E1747" s="6" t="str">
        <f t="shared" si="49"/>
        <v>女</v>
      </c>
    </row>
    <row r="1748" spans="1:5" ht="30" customHeight="1">
      <c r="A1748" s="6">
        <v>1746</v>
      </c>
      <c r="B1748" s="6" t="str">
        <f>"299420210530014408112052"</f>
        <v>299420210530014408112052</v>
      </c>
      <c r="C1748" s="6" t="s">
        <v>552</v>
      </c>
      <c r="D1748" s="6" t="str">
        <f>"王皇姑"</f>
        <v>王皇姑</v>
      </c>
      <c r="E1748" s="6" t="str">
        <f t="shared" si="49"/>
        <v>女</v>
      </c>
    </row>
    <row r="1749" spans="1:5" ht="30" customHeight="1">
      <c r="A1749" s="6">
        <v>1747</v>
      </c>
      <c r="B1749" s="6" t="str">
        <f>"299420210530040029112058"</f>
        <v>299420210530040029112058</v>
      </c>
      <c r="C1749" s="6" t="s">
        <v>552</v>
      </c>
      <c r="D1749" s="6" t="str">
        <f>"尹妃"</f>
        <v>尹妃</v>
      </c>
      <c r="E1749" s="6" t="str">
        <f t="shared" si="49"/>
        <v>女</v>
      </c>
    </row>
    <row r="1750" spans="1:5" ht="30" customHeight="1">
      <c r="A1750" s="6">
        <v>1748</v>
      </c>
      <c r="B1750" s="6" t="str">
        <f>"299420210530083955112078"</f>
        <v>299420210530083955112078</v>
      </c>
      <c r="C1750" s="6" t="s">
        <v>552</v>
      </c>
      <c r="D1750" s="6" t="str">
        <f>"林晓芬"</f>
        <v>林晓芬</v>
      </c>
      <c r="E1750" s="6" t="str">
        <f t="shared" si="49"/>
        <v>女</v>
      </c>
    </row>
    <row r="1751" spans="1:5" ht="30" customHeight="1">
      <c r="A1751" s="6">
        <v>1749</v>
      </c>
      <c r="B1751" s="6" t="str">
        <f>"299420210530094723112110"</f>
        <v>299420210530094723112110</v>
      </c>
      <c r="C1751" s="6" t="s">
        <v>552</v>
      </c>
      <c r="D1751" s="6" t="str">
        <f>"张钰"</f>
        <v>张钰</v>
      </c>
      <c r="E1751" s="6" t="str">
        <f t="shared" si="49"/>
        <v>女</v>
      </c>
    </row>
    <row r="1752" spans="1:5" ht="30" customHeight="1">
      <c r="A1752" s="6">
        <v>1750</v>
      </c>
      <c r="B1752" s="6" t="str">
        <f>"299420210530100812112123"</f>
        <v>299420210530100812112123</v>
      </c>
      <c r="C1752" s="6" t="s">
        <v>552</v>
      </c>
      <c r="D1752" s="6" t="str">
        <f>"陈业瑶"</f>
        <v>陈业瑶</v>
      </c>
      <c r="E1752" s="6" t="str">
        <f t="shared" si="49"/>
        <v>女</v>
      </c>
    </row>
    <row r="1753" spans="1:5" ht="30" customHeight="1">
      <c r="A1753" s="6">
        <v>1751</v>
      </c>
      <c r="B1753" s="6" t="str">
        <f>"299420210530101207112127"</f>
        <v>299420210530101207112127</v>
      </c>
      <c r="C1753" s="6" t="s">
        <v>552</v>
      </c>
      <c r="D1753" s="6" t="str">
        <f>"胡玲娇"</f>
        <v>胡玲娇</v>
      </c>
      <c r="E1753" s="6" t="str">
        <f t="shared" si="49"/>
        <v>女</v>
      </c>
    </row>
    <row r="1754" spans="1:5" ht="30" customHeight="1">
      <c r="A1754" s="6">
        <v>1752</v>
      </c>
      <c r="B1754" s="6" t="str">
        <f>"299420210530101319112128"</f>
        <v>299420210530101319112128</v>
      </c>
      <c r="C1754" s="6" t="s">
        <v>552</v>
      </c>
      <c r="D1754" s="6" t="str">
        <f>"黄昕怡"</f>
        <v>黄昕怡</v>
      </c>
      <c r="E1754" s="6" t="str">
        <f t="shared" si="49"/>
        <v>女</v>
      </c>
    </row>
    <row r="1755" spans="1:5" ht="30" customHeight="1">
      <c r="A1755" s="6">
        <v>1753</v>
      </c>
      <c r="B1755" s="6" t="str">
        <f>"299420210530104532112171"</f>
        <v>299420210530104532112171</v>
      </c>
      <c r="C1755" s="6" t="s">
        <v>552</v>
      </c>
      <c r="D1755" s="6" t="str">
        <f>"严姝婷"</f>
        <v>严姝婷</v>
      </c>
      <c r="E1755" s="6" t="str">
        <f t="shared" si="49"/>
        <v>女</v>
      </c>
    </row>
    <row r="1756" spans="1:5" ht="30" customHeight="1">
      <c r="A1756" s="6">
        <v>1754</v>
      </c>
      <c r="B1756" s="6" t="str">
        <f>"299420210530105928112187"</f>
        <v>299420210530105928112187</v>
      </c>
      <c r="C1756" s="6" t="s">
        <v>552</v>
      </c>
      <c r="D1756" s="6" t="str">
        <f>"蒙慧丽"</f>
        <v>蒙慧丽</v>
      </c>
      <c r="E1756" s="6" t="str">
        <f t="shared" si="49"/>
        <v>女</v>
      </c>
    </row>
    <row r="1757" spans="1:5" ht="30" customHeight="1">
      <c r="A1757" s="6">
        <v>1755</v>
      </c>
      <c r="B1757" s="6" t="str">
        <f>"299420210530105943112189"</f>
        <v>299420210530105943112189</v>
      </c>
      <c r="C1757" s="6" t="s">
        <v>552</v>
      </c>
      <c r="D1757" s="6" t="str">
        <f>"吴金梅"</f>
        <v>吴金梅</v>
      </c>
      <c r="E1757" s="6" t="str">
        <f t="shared" si="49"/>
        <v>女</v>
      </c>
    </row>
    <row r="1758" spans="1:5" ht="30" customHeight="1">
      <c r="A1758" s="6">
        <v>1756</v>
      </c>
      <c r="B1758" s="6" t="str">
        <f>"299420210530110602112194"</f>
        <v>299420210530110602112194</v>
      </c>
      <c r="C1758" s="6" t="s">
        <v>552</v>
      </c>
      <c r="D1758" s="6" t="str">
        <f>"陈宜"</f>
        <v>陈宜</v>
      </c>
      <c r="E1758" s="6" t="str">
        <f t="shared" si="49"/>
        <v>女</v>
      </c>
    </row>
    <row r="1759" spans="1:5" ht="30" customHeight="1">
      <c r="A1759" s="6">
        <v>1757</v>
      </c>
      <c r="B1759" s="6" t="str">
        <f>"299420210530111610112203"</f>
        <v>299420210530111610112203</v>
      </c>
      <c r="C1759" s="6" t="s">
        <v>552</v>
      </c>
      <c r="D1759" s="6" t="str">
        <f>"符方梅"</f>
        <v>符方梅</v>
      </c>
      <c r="E1759" s="6" t="str">
        <f t="shared" si="49"/>
        <v>女</v>
      </c>
    </row>
    <row r="1760" spans="1:5" ht="30" customHeight="1">
      <c r="A1760" s="6">
        <v>1758</v>
      </c>
      <c r="B1760" s="6" t="str">
        <f>"299420210530113036112214"</f>
        <v>299420210530113036112214</v>
      </c>
      <c r="C1760" s="6" t="s">
        <v>552</v>
      </c>
      <c r="D1760" s="6" t="str">
        <f>"曾春兰"</f>
        <v>曾春兰</v>
      </c>
      <c r="E1760" s="6" t="str">
        <f t="shared" si="49"/>
        <v>女</v>
      </c>
    </row>
    <row r="1761" spans="1:5" ht="30" customHeight="1">
      <c r="A1761" s="6">
        <v>1759</v>
      </c>
      <c r="B1761" s="6" t="str">
        <f>"299420210530113645112222"</f>
        <v>299420210530113645112222</v>
      </c>
      <c r="C1761" s="6" t="s">
        <v>552</v>
      </c>
      <c r="D1761" s="6" t="str">
        <f>"符丽选"</f>
        <v>符丽选</v>
      </c>
      <c r="E1761" s="6" t="str">
        <f t="shared" si="49"/>
        <v>女</v>
      </c>
    </row>
    <row r="1762" spans="1:5" ht="30" customHeight="1">
      <c r="A1762" s="6">
        <v>1760</v>
      </c>
      <c r="B1762" s="6" t="str">
        <f>"299420210530113657112223"</f>
        <v>299420210530113657112223</v>
      </c>
      <c r="C1762" s="6" t="s">
        <v>552</v>
      </c>
      <c r="D1762" s="6" t="str">
        <f>"唐文婕"</f>
        <v>唐文婕</v>
      </c>
      <c r="E1762" s="6" t="str">
        <f t="shared" si="49"/>
        <v>女</v>
      </c>
    </row>
    <row r="1763" spans="1:5" ht="30" customHeight="1">
      <c r="A1763" s="6">
        <v>1761</v>
      </c>
      <c r="B1763" s="6" t="str">
        <f>"299420210530115308112237"</f>
        <v>299420210530115308112237</v>
      </c>
      <c r="C1763" s="6" t="s">
        <v>552</v>
      </c>
      <c r="D1763" s="6" t="str">
        <f>"陈洁银"</f>
        <v>陈洁银</v>
      </c>
      <c r="E1763" s="6" t="str">
        <f t="shared" si="49"/>
        <v>女</v>
      </c>
    </row>
    <row r="1764" spans="1:5" ht="30" customHeight="1">
      <c r="A1764" s="6">
        <v>1762</v>
      </c>
      <c r="B1764" s="6" t="str">
        <f>"299420210530115547112238"</f>
        <v>299420210530115547112238</v>
      </c>
      <c r="C1764" s="6" t="s">
        <v>552</v>
      </c>
      <c r="D1764" s="6" t="str">
        <f>"李彩虹"</f>
        <v>李彩虹</v>
      </c>
      <c r="E1764" s="6" t="str">
        <f t="shared" si="49"/>
        <v>女</v>
      </c>
    </row>
    <row r="1765" spans="1:5" ht="30" customHeight="1">
      <c r="A1765" s="6">
        <v>1763</v>
      </c>
      <c r="B1765" s="6" t="str">
        <f>"299420210530122110112253"</f>
        <v>299420210530122110112253</v>
      </c>
      <c r="C1765" s="6" t="s">
        <v>552</v>
      </c>
      <c r="D1765" s="6" t="str">
        <f>"农惠婷"</f>
        <v>农惠婷</v>
      </c>
      <c r="E1765" s="6" t="str">
        <f t="shared" si="49"/>
        <v>女</v>
      </c>
    </row>
    <row r="1766" spans="1:5" ht="30" customHeight="1">
      <c r="A1766" s="6">
        <v>1764</v>
      </c>
      <c r="B1766" s="6" t="str">
        <f>"299420210530131637112297"</f>
        <v>299420210530131637112297</v>
      </c>
      <c r="C1766" s="6" t="s">
        <v>552</v>
      </c>
      <c r="D1766" s="6" t="str">
        <f>"陈银美"</f>
        <v>陈银美</v>
      </c>
      <c r="E1766" s="6" t="str">
        <f t="shared" si="49"/>
        <v>女</v>
      </c>
    </row>
    <row r="1767" spans="1:5" ht="30" customHeight="1">
      <c r="A1767" s="6">
        <v>1765</v>
      </c>
      <c r="B1767" s="6" t="str">
        <f>"299420210530132300112302"</f>
        <v>299420210530132300112302</v>
      </c>
      <c r="C1767" s="6" t="s">
        <v>552</v>
      </c>
      <c r="D1767" s="6" t="str">
        <f>"文小丽"</f>
        <v>文小丽</v>
      </c>
      <c r="E1767" s="6" t="str">
        <f t="shared" si="49"/>
        <v>女</v>
      </c>
    </row>
    <row r="1768" spans="1:5" ht="30" customHeight="1">
      <c r="A1768" s="6">
        <v>1766</v>
      </c>
      <c r="B1768" s="6" t="str">
        <f>"299420210530135414112319"</f>
        <v>299420210530135414112319</v>
      </c>
      <c r="C1768" s="6" t="s">
        <v>552</v>
      </c>
      <c r="D1768" s="6" t="str">
        <f>"周蕾"</f>
        <v>周蕾</v>
      </c>
      <c r="E1768" s="6" t="str">
        <f t="shared" si="49"/>
        <v>女</v>
      </c>
    </row>
    <row r="1769" spans="1:5" ht="30" customHeight="1">
      <c r="A1769" s="6">
        <v>1767</v>
      </c>
      <c r="B1769" s="6" t="str">
        <f>"299420210530135530112320"</f>
        <v>299420210530135530112320</v>
      </c>
      <c r="C1769" s="6" t="s">
        <v>552</v>
      </c>
      <c r="D1769" s="6" t="str">
        <f>"符莉婵"</f>
        <v>符莉婵</v>
      </c>
      <c r="E1769" s="6" t="str">
        <f t="shared" si="49"/>
        <v>女</v>
      </c>
    </row>
    <row r="1770" spans="1:5" ht="30" customHeight="1">
      <c r="A1770" s="6">
        <v>1768</v>
      </c>
      <c r="B1770" s="6" t="str">
        <f>"299420210530140739112324"</f>
        <v>299420210530140739112324</v>
      </c>
      <c r="C1770" s="6" t="s">
        <v>552</v>
      </c>
      <c r="D1770" s="6" t="str">
        <f>"蔡碧霜"</f>
        <v>蔡碧霜</v>
      </c>
      <c r="E1770" s="6" t="str">
        <f t="shared" si="49"/>
        <v>女</v>
      </c>
    </row>
    <row r="1771" spans="1:5" ht="30" customHeight="1">
      <c r="A1771" s="6">
        <v>1769</v>
      </c>
      <c r="B1771" s="6" t="str">
        <f>"299420210530143035112332"</f>
        <v>299420210530143035112332</v>
      </c>
      <c r="C1771" s="6" t="s">
        <v>552</v>
      </c>
      <c r="D1771" s="6" t="str">
        <f>"吴泳莉"</f>
        <v>吴泳莉</v>
      </c>
      <c r="E1771" s="6" t="str">
        <f t="shared" si="49"/>
        <v>女</v>
      </c>
    </row>
    <row r="1772" spans="1:5" ht="30" customHeight="1">
      <c r="A1772" s="6">
        <v>1770</v>
      </c>
      <c r="B1772" s="6" t="str">
        <f>"299420210530144506112336"</f>
        <v>299420210530144506112336</v>
      </c>
      <c r="C1772" s="6" t="s">
        <v>552</v>
      </c>
      <c r="D1772" s="6" t="str">
        <f>"符小妹"</f>
        <v>符小妹</v>
      </c>
      <c r="E1772" s="6" t="str">
        <f t="shared" si="49"/>
        <v>女</v>
      </c>
    </row>
    <row r="1773" spans="1:5" ht="30" customHeight="1">
      <c r="A1773" s="6">
        <v>1771</v>
      </c>
      <c r="B1773" s="6" t="str">
        <f>"299420210530151117112353"</f>
        <v>299420210530151117112353</v>
      </c>
      <c r="C1773" s="6" t="s">
        <v>552</v>
      </c>
      <c r="D1773" s="6" t="str">
        <f>"徐怡娴"</f>
        <v>徐怡娴</v>
      </c>
      <c r="E1773" s="6" t="str">
        <f t="shared" si="49"/>
        <v>女</v>
      </c>
    </row>
    <row r="1774" spans="1:5" ht="30" customHeight="1">
      <c r="A1774" s="6">
        <v>1772</v>
      </c>
      <c r="B1774" s="6" t="str">
        <f>"299420210530154049112374"</f>
        <v>299420210530154049112374</v>
      </c>
      <c r="C1774" s="6" t="s">
        <v>552</v>
      </c>
      <c r="D1774" s="6" t="str">
        <f>"苏刘青"</f>
        <v>苏刘青</v>
      </c>
      <c r="E1774" s="6" t="str">
        <f t="shared" si="49"/>
        <v>女</v>
      </c>
    </row>
    <row r="1775" spans="1:5" ht="30" customHeight="1">
      <c r="A1775" s="6">
        <v>1773</v>
      </c>
      <c r="B1775" s="6" t="str">
        <f>"299420210530154457112375"</f>
        <v>299420210530154457112375</v>
      </c>
      <c r="C1775" s="6" t="s">
        <v>552</v>
      </c>
      <c r="D1775" s="6" t="str">
        <f>"王淋"</f>
        <v>王淋</v>
      </c>
      <c r="E1775" s="6" t="str">
        <f t="shared" si="49"/>
        <v>女</v>
      </c>
    </row>
    <row r="1776" spans="1:5" ht="30" customHeight="1">
      <c r="A1776" s="6">
        <v>1774</v>
      </c>
      <c r="B1776" s="6" t="str">
        <f>"299420210530162531112404"</f>
        <v>299420210530162531112404</v>
      </c>
      <c r="C1776" s="6" t="s">
        <v>552</v>
      </c>
      <c r="D1776" s="6" t="str">
        <f>"王佳俐"</f>
        <v>王佳俐</v>
      </c>
      <c r="E1776" s="6" t="str">
        <f t="shared" si="49"/>
        <v>女</v>
      </c>
    </row>
    <row r="1777" spans="1:5" ht="30" customHeight="1">
      <c r="A1777" s="6">
        <v>1775</v>
      </c>
      <c r="B1777" s="6" t="str">
        <f>"299420210530163114112410"</f>
        <v>299420210530163114112410</v>
      </c>
      <c r="C1777" s="6" t="s">
        <v>552</v>
      </c>
      <c r="D1777" s="6" t="str">
        <f>"林芳洪"</f>
        <v>林芳洪</v>
      </c>
      <c r="E1777" s="6" t="str">
        <f t="shared" si="49"/>
        <v>女</v>
      </c>
    </row>
    <row r="1778" spans="1:5" ht="30" customHeight="1">
      <c r="A1778" s="6">
        <v>1776</v>
      </c>
      <c r="B1778" s="6" t="str">
        <f>"299420210530171054112436"</f>
        <v>299420210530171054112436</v>
      </c>
      <c r="C1778" s="6" t="s">
        <v>552</v>
      </c>
      <c r="D1778" s="6" t="str">
        <f>"余洁璇"</f>
        <v>余洁璇</v>
      </c>
      <c r="E1778" s="6" t="str">
        <f t="shared" si="49"/>
        <v>女</v>
      </c>
    </row>
    <row r="1779" spans="1:5" ht="30" customHeight="1">
      <c r="A1779" s="6">
        <v>1777</v>
      </c>
      <c r="B1779" s="6" t="str">
        <f>"299420210530172548112451"</f>
        <v>299420210530172548112451</v>
      </c>
      <c r="C1779" s="6" t="s">
        <v>552</v>
      </c>
      <c r="D1779" s="6" t="str">
        <f>"符罗曼"</f>
        <v>符罗曼</v>
      </c>
      <c r="E1779" s="6" t="str">
        <f t="shared" si="49"/>
        <v>女</v>
      </c>
    </row>
    <row r="1780" spans="1:5" ht="30" customHeight="1">
      <c r="A1780" s="6">
        <v>1778</v>
      </c>
      <c r="B1780" s="6" t="str">
        <f>"299420210530174638112475"</f>
        <v>299420210530174638112475</v>
      </c>
      <c r="C1780" s="6" t="s">
        <v>552</v>
      </c>
      <c r="D1780" s="6" t="str">
        <f>"罗敏"</f>
        <v>罗敏</v>
      </c>
      <c r="E1780" s="6" t="str">
        <f t="shared" si="49"/>
        <v>女</v>
      </c>
    </row>
    <row r="1781" spans="1:5" ht="30" customHeight="1">
      <c r="A1781" s="6">
        <v>1779</v>
      </c>
      <c r="B1781" s="6" t="str">
        <f>"299420210530181002112498"</f>
        <v>299420210530181002112498</v>
      </c>
      <c r="C1781" s="6" t="s">
        <v>552</v>
      </c>
      <c r="D1781" s="6" t="str">
        <f>"尤曼力"</f>
        <v>尤曼力</v>
      </c>
      <c r="E1781" s="6" t="str">
        <f t="shared" si="49"/>
        <v>女</v>
      </c>
    </row>
    <row r="1782" spans="1:5" ht="30" customHeight="1">
      <c r="A1782" s="6">
        <v>1780</v>
      </c>
      <c r="B1782" s="6" t="str">
        <f>"299420210530183252112517"</f>
        <v>299420210530183252112517</v>
      </c>
      <c r="C1782" s="6" t="s">
        <v>552</v>
      </c>
      <c r="D1782" s="6" t="str">
        <f>"王海荣"</f>
        <v>王海荣</v>
      </c>
      <c r="E1782" s="6" t="str">
        <f t="shared" si="49"/>
        <v>女</v>
      </c>
    </row>
    <row r="1783" spans="1:5" ht="30" customHeight="1">
      <c r="A1783" s="6">
        <v>1781</v>
      </c>
      <c r="B1783" s="6" t="str">
        <f>"299420210530183606112519"</f>
        <v>299420210530183606112519</v>
      </c>
      <c r="C1783" s="6" t="s">
        <v>552</v>
      </c>
      <c r="D1783" s="6" t="str">
        <f>"王世韵"</f>
        <v>王世韵</v>
      </c>
      <c r="E1783" s="6" t="str">
        <f t="shared" si="49"/>
        <v>女</v>
      </c>
    </row>
    <row r="1784" spans="1:5" ht="30" customHeight="1">
      <c r="A1784" s="6">
        <v>1782</v>
      </c>
      <c r="B1784" s="6" t="str">
        <f>"299420210530183754112522"</f>
        <v>299420210530183754112522</v>
      </c>
      <c r="C1784" s="6" t="s">
        <v>552</v>
      </c>
      <c r="D1784" s="6" t="str">
        <f>"吴宇婷"</f>
        <v>吴宇婷</v>
      </c>
      <c r="E1784" s="6" t="str">
        <f t="shared" si="49"/>
        <v>女</v>
      </c>
    </row>
    <row r="1785" spans="1:5" ht="30" customHeight="1">
      <c r="A1785" s="6">
        <v>1783</v>
      </c>
      <c r="B1785" s="6" t="str">
        <f>"299420210530183931112525"</f>
        <v>299420210530183931112525</v>
      </c>
      <c r="C1785" s="6" t="s">
        <v>552</v>
      </c>
      <c r="D1785" s="6" t="str">
        <f>"黄晨莹"</f>
        <v>黄晨莹</v>
      </c>
      <c r="E1785" s="6" t="str">
        <f t="shared" si="49"/>
        <v>女</v>
      </c>
    </row>
    <row r="1786" spans="1:5" ht="30" customHeight="1">
      <c r="A1786" s="6">
        <v>1784</v>
      </c>
      <c r="B1786" s="6" t="str">
        <f>"299420210530184357112528"</f>
        <v>299420210530184357112528</v>
      </c>
      <c r="C1786" s="6" t="s">
        <v>552</v>
      </c>
      <c r="D1786" s="6" t="str">
        <f>"邓运妹"</f>
        <v>邓运妹</v>
      </c>
      <c r="E1786" s="6" t="str">
        <f aca="true" t="shared" si="50" ref="E1786:E1817">"女"</f>
        <v>女</v>
      </c>
    </row>
    <row r="1787" spans="1:5" ht="30" customHeight="1">
      <c r="A1787" s="6">
        <v>1785</v>
      </c>
      <c r="B1787" s="6" t="str">
        <f>"299420210530193110112560"</f>
        <v>299420210530193110112560</v>
      </c>
      <c r="C1787" s="6" t="s">
        <v>552</v>
      </c>
      <c r="D1787" s="6" t="str">
        <f>"吴美萱"</f>
        <v>吴美萱</v>
      </c>
      <c r="E1787" s="6" t="str">
        <f t="shared" si="50"/>
        <v>女</v>
      </c>
    </row>
    <row r="1788" spans="1:5" ht="30" customHeight="1">
      <c r="A1788" s="6">
        <v>1786</v>
      </c>
      <c r="B1788" s="6" t="str">
        <f>"299420210530201248112589"</f>
        <v>299420210530201248112589</v>
      </c>
      <c r="C1788" s="6" t="s">
        <v>552</v>
      </c>
      <c r="D1788" s="6" t="str">
        <f>"向蕾"</f>
        <v>向蕾</v>
      </c>
      <c r="E1788" s="6" t="str">
        <f t="shared" si="50"/>
        <v>女</v>
      </c>
    </row>
    <row r="1789" spans="1:5" ht="30" customHeight="1">
      <c r="A1789" s="6">
        <v>1787</v>
      </c>
      <c r="B1789" s="6" t="str">
        <f>"299420210530201852112597"</f>
        <v>299420210530201852112597</v>
      </c>
      <c r="C1789" s="6" t="s">
        <v>552</v>
      </c>
      <c r="D1789" s="6" t="str">
        <f>"林瑶芬"</f>
        <v>林瑶芬</v>
      </c>
      <c r="E1789" s="6" t="str">
        <f t="shared" si="50"/>
        <v>女</v>
      </c>
    </row>
    <row r="1790" spans="1:5" ht="30" customHeight="1">
      <c r="A1790" s="6">
        <v>1788</v>
      </c>
      <c r="B1790" s="6" t="str">
        <f>"299420210530204153112623"</f>
        <v>299420210530204153112623</v>
      </c>
      <c r="C1790" s="6" t="s">
        <v>552</v>
      </c>
      <c r="D1790" s="6" t="str">
        <f>"高芳莉"</f>
        <v>高芳莉</v>
      </c>
      <c r="E1790" s="6" t="str">
        <f t="shared" si="50"/>
        <v>女</v>
      </c>
    </row>
    <row r="1791" spans="1:5" ht="30" customHeight="1">
      <c r="A1791" s="6">
        <v>1789</v>
      </c>
      <c r="B1791" s="6" t="str">
        <f>"299420210530205109112635"</f>
        <v>299420210530205109112635</v>
      </c>
      <c r="C1791" s="6" t="s">
        <v>552</v>
      </c>
      <c r="D1791" s="6" t="str">
        <f>"范玉玲"</f>
        <v>范玉玲</v>
      </c>
      <c r="E1791" s="6" t="str">
        <f t="shared" si="50"/>
        <v>女</v>
      </c>
    </row>
    <row r="1792" spans="1:5" ht="30" customHeight="1">
      <c r="A1792" s="6">
        <v>1790</v>
      </c>
      <c r="B1792" s="6" t="str">
        <f>"299420210530205828112645"</f>
        <v>299420210530205828112645</v>
      </c>
      <c r="C1792" s="6" t="s">
        <v>552</v>
      </c>
      <c r="D1792" s="6" t="str">
        <f>"林艳"</f>
        <v>林艳</v>
      </c>
      <c r="E1792" s="6" t="str">
        <f t="shared" si="50"/>
        <v>女</v>
      </c>
    </row>
    <row r="1793" spans="1:5" ht="30" customHeight="1">
      <c r="A1793" s="6">
        <v>1791</v>
      </c>
      <c r="B1793" s="6" t="str">
        <f>"299420210530210203112653"</f>
        <v>299420210530210203112653</v>
      </c>
      <c r="C1793" s="6" t="s">
        <v>552</v>
      </c>
      <c r="D1793" s="6" t="str">
        <f>"李雅妮"</f>
        <v>李雅妮</v>
      </c>
      <c r="E1793" s="6" t="str">
        <f t="shared" si="50"/>
        <v>女</v>
      </c>
    </row>
    <row r="1794" spans="1:5" ht="30" customHeight="1">
      <c r="A1794" s="6">
        <v>1792</v>
      </c>
      <c r="B1794" s="6" t="str">
        <f>"299420210530211035112667"</f>
        <v>299420210530211035112667</v>
      </c>
      <c r="C1794" s="6" t="s">
        <v>552</v>
      </c>
      <c r="D1794" s="6" t="str">
        <f>"胡正果"</f>
        <v>胡正果</v>
      </c>
      <c r="E1794" s="6" t="str">
        <f t="shared" si="50"/>
        <v>女</v>
      </c>
    </row>
    <row r="1795" spans="1:5" ht="30" customHeight="1">
      <c r="A1795" s="6">
        <v>1793</v>
      </c>
      <c r="B1795" s="6" t="str">
        <f>"299420210530211317112669"</f>
        <v>299420210530211317112669</v>
      </c>
      <c r="C1795" s="6" t="s">
        <v>552</v>
      </c>
      <c r="D1795" s="6" t="str">
        <f>"劳玮佳"</f>
        <v>劳玮佳</v>
      </c>
      <c r="E1795" s="6" t="str">
        <f t="shared" si="50"/>
        <v>女</v>
      </c>
    </row>
    <row r="1796" spans="1:5" ht="30" customHeight="1">
      <c r="A1796" s="6">
        <v>1794</v>
      </c>
      <c r="B1796" s="6" t="str">
        <f>"299420210530211515112676"</f>
        <v>299420210530211515112676</v>
      </c>
      <c r="C1796" s="6" t="s">
        <v>552</v>
      </c>
      <c r="D1796" s="6" t="str">
        <f>"严晨枭"</f>
        <v>严晨枭</v>
      </c>
      <c r="E1796" s="6" t="str">
        <f t="shared" si="50"/>
        <v>女</v>
      </c>
    </row>
    <row r="1797" spans="1:5" ht="30" customHeight="1">
      <c r="A1797" s="6">
        <v>1795</v>
      </c>
      <c r="B1797" s="6" t="str">
        <f>"299420210530212408112691"</f>
        <v>299420210530212408112691</v>
      </c>
      <c r="C1797" s="6" t="s">
        <v>552</v>
      </c>
      <c r="D1797" s="6" t="str">
        <f>"郭文珍"</f>
        <v>郭文珍</v>
      </c>
      <c r="E1797" s="6" t="str">
        <f t="shared" si="50"/>
        <v>女</v>
      </c>
    </row>
    <row r="1798" spans="1:5" ht="30" customHeight="1">
      <c r="A1798" s="6">
        <v>1796</v>
      </c>
      <c r="B1798" s="6" t="str">
        <f>"299420210530212424112692"</f>
        <v>299420210530212424112692</v>
      </c>
      <c r="C1798" s="6" t="s">
        <v>552</v>
      </c>
      <c r="D1798" s="6" t="str">
        <f>"陈妙鸾"</f>
        <v>陈妙鸾</v>
      </c>
      <c r="E1798" s="6" t="str">
        <f t="shared" si="50"/>
        <v>女</v>
      </c>
    </row>
    <row r="1799" spans="1:5" ht="30" customHeight="1">
      <c r="A1799" s="6">
        <v>1797</v>
      </c>
      <c r="B1799" s="6" t="str">
        <f>"299420210530212808112696"</f>
        <v>299420210530212808112696</v>
      </c>
      <c r="C1799" s="6" t="s">
        <v>552</v>
      </c>
      <c r="D1799" s="6" t="str">
        <f>"王洁"</f>
        <v>王洁</v>
      </c>
      <c r="E1799" s="6" t="str">
        <f t="shared" si="50"/>
        <v>女</v>
      </c>
    </row>
    <row r="1800" spans="1:5" ht="30" customHeight="1">
      <c r="A1800" s="6">
        <v>1798</v>
      </c>
      <c r="B1800" s="6" t="str">
        <f>"299420210530214305112708"</f>
        <v>299420210530214305112708</v>
      </c>
      <c r="C1800" s="6" t="s">
        <v>552</v>
      </c>
      <c r="D1800" s="6" t="str">
        <f>"周惠婷"</f>
        <v>周惠婷</v>
      </c>
      <c r="E1800" s="6" t="str">
        <f t="shared" si="50"/>
        <v>女</v>
      </c>
    </row>
    <row r="1801" spans="1:5" ht="30" customHeight="1">
      <c r="A1801" s="6">
        <v>1799</v>
      </c>
      <c r="B1801" s="6" t="str">
        <f>"299420210530214721112712"</f>
        <v>299420210530214721112712</v>
      </c>
      <c r="C1801" s="6" t="s">
        <v>552</v>
      </c>
      <c r="D1801" s="6" t="str">
        <f>"王婷"</f>
        <v>王婷</v>
      </c>
      <c r="E1801" s="6" t="str">
        <f t="shared" si="50"/>
        <v>女</v>
      </c>
    </row>
    <row r="1802" spans="1:5" ht="30" customHeight="1">
      <c r="A1802" s="6">
        <v>1800</v>
      </c>
      <c r="B1802" s="6" t="str">
        <f>"299420210530215603112723"</f>
        <v>299420210530215603112723</v>
      </c>
      <c r="C1802" s="6" t="s">
        <v>552</v>
      </c>
      <c r="D1802" s="6" t="str">
        <f>"潘倩倩"</f>
        <v>潘倩倩</v>
      </c>
      <c r="E1802" s="6" t="str">
        <f t="shared" si="50"/>
        <v>女</v>
      </c>
    </row>
    <row r="1803" spans="1:5" ht="30" customHeight="1">
      <c r="A1803" s="6">
        <v>1801</v>
      </c>
      <c r="B1803" s="6" t="str">
        <f>"299420210530220330112731"</f>
        <v>299420210530220330112731</v>
      </c>
      <c r="C1803" s="6" t="s">
        <v>552</v>
      </c>
      <c r="D1803" s="6" t="str">
        <f>"董爵玲"</f>
        <v>董爵玲</v>
      </c>
      <c r="E1803" s="6" t="str">
        <f t="shared" si="50"/>
        <v>女</v>
      </c>
    </row>
    <row r="1804" spans="1:5" ht="30" customHeight="1">
      <c r="A1804" s="6">
        <v>1802</v>
      </c>
      <c r="B1804" s="6" t="str">
        <f>"299420210530220657112734"</f>
        <v>299420210530220657112734</v>
      </c>
      <c r="C1804" s="6" t="s">
        <v>552</v>
      </c>
      <c r="D1804" s="6" t="str">
        <f>"陈佳佳"</f>
        <v>陈佳佳</v>
      </c>
      <c r="E1804" s="6" t="str">
        <f t="shared" si="50"/>
        <v>女</v>
      </c>
    </row>
    <row r="1805" spans="1:5" ht="30" customHeight="1">
      <c r="A1805" s="6">
        <v>1803</v>
      </c>
      <c r="B1805" s="6" t="str">
        <f>"299420210530221554112756"</f>
        <v>299420210530221554112756</v>
      </c>
      <c r="C1805" s="6" t="s">
        <v>552</v>
      </c>
      <c r="D1805" s="6" t="str">
        <f>"赵细米"</f>
        <v>赵细米</v>
      </c>
      <c r="E1805" s="6" t="str">
        <f t="shared" si="50"/>
        <v>女</v>
      </c>
    </row>
    <row r="1806" spans="1:5" ht="30" customHeight="1">
      <c r="A1806" s="6">
        <v>1804</v>
      </c>
      <c r="B1806" s="6" t="str">
        <f>"299420210530221717112757"</f>
        <v>299420210530221717112757</v>
      </c>
      <c r="C1806" s="6" t="s">
        <v>552</v>
      </c>
      <c r="D1806" s="6" t="str">
        <f>"吴美玲"</f>
        <v>吴美玲</v>
      </c>
      <c r="E1806" s="6" t="str">
        <f t="shared" si="50"/>
        <v>女</v>
      </c>
    </row>
    <row r="1807" spans="1:5" ht="30" customHeight="1">
      <c r="A1807" s="6">
        <v>1805</v>
      </c>
      <c r="B1807" s="6" t="str">
        <f>"299420210530224708112793"</f>
        <v>299420210530224708112793</v>
      </c>
      <c r="C1807" s="6" t="s">
        <v>552</v>
      </c>
      <c r="D1807" s="6" t="str">
        <f>"于楠"</f>
        <v>于楠</v>
      </c>
      <c r="E1807" s="6" t="str">
        <f t="shared" si="50"/>
        <v>女</v>
      </c>
    </row>
    <row r="1808" spans="1:5" ht="30" customHeight="1">
      <c r="A1808" s="6">
        <v>1806</v>
      </c>
      <c r="B1808" s="6" t="str">
        <f>"299420210530225818112808"</f>
        <v>299420210530225818112808</v>
      </c>
      <c r="C1808" s="6" t="s">
        <v>552</v>
      </c>
      <c r="D1808" s="6" t="str">
        <f>"杨琳"</f>
        <v>杨琳</v>
      </c>
      <c r="E1808" s="6" t="str">
        <f t="shared" si="50"/>
        <v>女</v>
      </c>
    </row>
    <row r="1809" spans="1:5" ht="30" customHeight="1">
      <c r="A1809" s="6">
        <v>1807</v>
      </c>
      <c r="B1809" s="6" t="str">
        <f>"299420210530230443112818"</f>
        <v>299420210530230443112818</v>
      </c>
      <c r="C1809" s="6" t="s">
        <v>552</v>
      </c>
      <c r="D1809" s="6" t="str">
        <f>"吴绍娟"</f>
        <v>吴绍娟</v>
      </c>
      <c r="E1809" s="6" t="str">
        <f t="shared" si="50"/>
        <v>女</v>
      </c>
    </row>
    <row r="1810" spans="1:5" ht="30" customHeight="1">
      <c r="A1810" s="6">
        <v>1808</v>
      </c>
      <c r="B1810" s="6" t="str">
        <f>"299420210530230757112827"</f>
        <v>299420210530230757112827</v>
      </c>
      <c r="C1810" s="6" t="s">
        <v>552</v>
      </c>
      <c r="D1810" s="6" t="str">
        <f>"林小钰"</f>
        <v>林小钰</v>
      </c>
      <c r="E1810" s="6" t="str">
        <f t="shared" si="50"/>
        <v>女</v>
      </c>
    </row>
    <row r="1811" spans="1:5" ht="30" customHeight="1">
      <c r="A1811" s="6">
        <v>1809</v>
      </c>
      <c r="B1811" s="6" t="str">
        <f>"299420210530231204112835"</f>
        <v>299420210530231204112835</v>
      </c>
      <c r="C1811" s="6" t="s">
        <v>552</v>
      </c>
      <c r="D1811" s="6" t="str">
        <f>"韦桂丹"</f>
        <v>韦桂丹</v>
      </c>
      <c r="E1811" s="6" t="str">
        <f t="shared" si="50"/>
        <v>女</v>
      </c>
    </row>
    <row r="1812" spans="1:5" ht="30" customHeight="1">
      <c r="A1812" s="6">
        <v>1810</v>
      </c>
      <c r="B1812" s="6" t="str">
        <f>"299420210530231432112840"</f>
        <v>299420210530231432112840</v>
      </c>
      <c r="C1812" s="6" t="s">
        <v>552</v>
      </c>
      <c r="D1812" s="6" t="str">
        <f>"伍慧敏"</f>
        <v>伍慧敏</v>
      </c>
      <c r="E1812" s="6" t="str">
        <f t="shared" si="50"/>
        <v>女</v>
      </c>
    </row>
    <row r="1813" spans="1:5" ht="30" customHeight="1">
      <c r="A1813" s="6">
        <v>1811</v>
      </c>
      <c r="B1813" s="6" t="str">
        <f>"299420210530231650112844"</f>
        <v>299420210530231650112844</v>
      </c>
      <c r="C1813" s="6" t="s">
        <v>552</v>
      </c>
      <c r="D1813" s="6" t="str">
        <f>"钟芸"</f>
        <v>钟芸</v>
      </c>
      <c r="E1813" s="6" t="str">
        <f t="shared" si="50"/>
        <v>女</v>
      </c>
    </row>
    <row r="1814" spans="1:5" ht="30" customHeight="1">
      <c r="A1814" s="6">
        <v>1812</v>
      </c>
      <c r="B1814" s="6" t="str">
        <f>"299420210530232104112845"</f>
        <v>299420210530232104112845</v>
      </c>
      <c r="C1814" s="6" t="s">
        <v>552</v>
      </c>
      <c r="D1814" s="6" t="str">
        <f>"王萌"</f>
        <v>王萌</v>
      </c>
      <c r="E1814" s="6" t="str">
        <f t="shared" si="50"/>
        <v>女</v>
      </c>
    </row>
    <row r="1815" spans="1:5" ht="30" customHeight="1">
      <c r="A1815" s="6">
        <v>1813</v>
      </c>
      <c r="B1815" s="6" t="str">
        <f>"299420210530232812112854"</f>
        <v>299420210530232812112854</v>
      </c>
      <c r="C1815" s="6" t="s">
        <v>552</v>
      </c>
      <c r="D1815" s="6" t="str">
        <f>"王霜"</f>
        <v>王霜</v>
      </c>
      <c r="E1815" s="6" t="str">
        <f t="shared" si="50"/>
        <v>女</v>
      </c>
    </row>
    <row r="1816" spans="1:5" ht="30" customHeight="1">
      <c r="A1816" s="6">
        <v>1814</v>
      </c>
      <c r="B1816" s="6" t="str">
        <f>"299420210530234446112864"</f>
        <v>299420210530234446112864</v>
      </c>
      <c r="C1816" s="6" t="s">
        <v>552</v>
      </c>
      <c r="D1816" s="6" t="str">
        <f>"韦千云"</f>
        <v>韦千云</v>
      </c>
      <c r="E1816" s="6" t="str">
        <f t="shared" si="50"/>
        <v>女</v>
      </c>
    </row>
    <row r="1817" spans="1:5" ht="30" customHeight="1">
      <c r="A1817" s="6">
        <v>1815</v>
      </c>
      <c r="B1817" s="6" t="str">
        <f>"299420210531000647112876"</f>
        <v>299420210531000647112876</v>
      </c>
      <c r="C1817" s="6" t="s">
        <v>552</v>
      </c>
      <c r="D1817" s="6" t="str">
        <f>"唐雨"</f>
        <v>唐雨</v>
      </c>
      <c r="E1817" s="6" t="str">
        <f t="shared" si="50"/>
        <v>女</v>
      </c>
    </row>
    <row r="1818" spans="1:5" ht="30" customHeight="1">
      <c r="A1818" s="6">
        <v>1816</v>
      </c>
      <c r="B1818" s="6" t="str">
        <f>"299420210531001404112883"</f>
        <v>299420210531001404112883</v>
      </c>
      <c r="C1818" s="6" t="s">
        <v>552</v>
      </c>
      <c r="D1818" s="6" t="str">
        <f>"赵瑞"</f>
        <v>赵瑞</v>
      </c>
      <c r="E1818" s="6" t="str">
        <f>"男"</f>
        <v>男</v>
      </c>
    </row>
    <row r="1819" spans="1:5" ht="30" customHeight="1">
      <c r="A1819" s="6">
        <v>1817</v>
      </c>
      <c r="B1819" s="6" t="str">
        <f>"299420210531001543112887"</f>
        <v>299420210531001543112887</v>
      </c>
      <c r="C1819" s="6" t="s">
        <v>552</v>
      </c>
      <c r="D1819" s="6" t="str">
        <f>"何青蔚"</f>
        <v>何青蔚</v>
      </c>
      <c r="E1819" s="6" t="str">
        <f aca="true" t="shared" si="51" ref="E1819:E1829">"女"</f>
        <v>女</v>
      </c>
    </row>
    <row r="1820" spans="1:5" ht="30" customHeight="1">
      <c r="A1820" s="6">
        <v>1818</v>
      </c>
      <c r="B1820" s="6" t="str">
        <f>"299420210531001817112890"</f>
        <v>299420210531001817112890</v>
      </c>
      <c r="C1820" s="6" t="s">
        <v>552</v>
      </c>
      <c r="D1820" s="6" t="str">
        <f>"莫雯渊"</f>
        <v>莫雯渊</v>
      </c>
      <c r="E1820" s="6" t="str">
        <f t="shared" si="51"/>
        <v>女</v>
      </c>
    </row>
    <row r="1821" spans="1:5" ht="30" customHeight="1">
      <c r="A1821" s="6">
        <v>1819</v>
      </c>
      <c r="B1821" s="6" t="str">
        <f>"299420210531003554112896"</f>
        <v>299420210531003554112896</v>
      </c>
      <c r="C1821" s="6" t="s">
        <v>552</v>
      </c>
      <c r="D1821" s="6" t="str">
        <f>"陈柔珂"</f>
        <v>陈柔珂</v>
      </c>
      <c r="E1821" s="6" t="str">
        <f t="shared" si="51"/>
        <v>女</v>
      </c>
    </row>
    <row r="1822" spans="1:5" ht="30" customHeight="1">
      <c r="A1822" s="6">
        <v>1820</v>
      </c>
      <c r="B1822" s="6" t="str">
        <f>"299420210531074438112930"</f>
        <v>299420210531074438112930</v>
      </c>
      <c r="C1822" s="6" t="s">
        <v>552</v>
      </c>
      <c r="D1822" s="6" t="str">
        <f>"冯娇"</f>
        <v>冯娇</v>
      </c>
      <c r="E1822" s="6" t="str">
        <f t="shared" si="51"/>
        <v>女</v>
      </c>
    </row>
    <row r="1823" spans="1:5" ht="30" customHeight="1">
      <c r="A1823" s="6">
        <v>1821</v>
      </c>
      <c r="B1823" s="6" t="str">
        <f>"299420210531084814112975"</f>
        <v>299420210531084814112975</v>
      </c>
      <c r="C1823" s="6" t="s">
        <v>552</v>
      </c>
      <c r="D1823" s="6" t="str">
        <f>"魏星"</f>
        <v>魏星</v>
      </c>
      <c r="E1823" s="6" t="str">
        <f t="shared" si="51"/>
        <v>女</v>
      </c>
    </row>
    <row r="1824" spans="1:5" ht="30" customHeight="1">
      <c r="A1824" s="6">
        <v>1822</v>
      </c>
      <c r="B1824" s="6" t="str">
        <f>"299420210531085330112984"</f>
        <v>299420210531085330112984</v>
      </c>
      <c r="C1824" s="6" t="s">
        <v>552</v>
      </c>
      <c r="D1824" s="6" t="str">
        <f>"黄群婷"</f>
        <v>黄群婷</v>
      </c>
      <c r="E1824" s="6" t="str">
        <f t="shared" si="51"/>
        <v>女</v>
      </c>
    </row>
    <row r="1825" spans="1:5" ht="30" customHeight="1">
      <c r="A1825" s="6">
        <v>1823</v>
      </c>
      <c r="B1825" s="6" t="str">
        <f>"299420210531085917112993"</f>
        <v>299420210531085917112993</v>
      </c>
      <c r="C1825" s="6" t="s">
        <v>552</v>
      </c>
      <c r="D1825" s="6" t="str">
        <f>"丁晓楠"</f>
        <v>丁晓楠</v>
      </c>
      <c r="E1825" s="6" t="str">
        <f t="shared" si="51"/>
        <v>女</v>
      </c>
    </row>
    <row r="1826" spans="1:5" ht="30" customHeight="1">
      <c r="A1826" s="6">
        <v>1824</v>
      </c>
      <c r="B1826" s="6" t="str">
        <f>"299420210531092447113026"</f>
        <v>299420210531092447113026</v>
      </c>
      <c r="C1826" s="6" t="s">
        <v>552</v>
      </c>
      <c r="D1826" s="6" t="str">
        <f>"王俊莉"</f>
        <v>王俊莉</v>
      </c>
      <c r="E1826" s="6" t="str">
        <f t="shared" si="51"/>
        <v>女</v>
      </c>
    </row>
    <row r="1827" spans="1:5" ht="30" customHeight="1">
      <c r="A1827" s="6">
        <v>1825</v>
      </c>
      <c r="B1827" s="6" t="str">
        <f>"299420210531092513113029"</f>
        <v>299420210531092513113029</v>
      </c>
      <c r="C1827" s="6" t="s">
        <v>552</v>
      </c>
      <c r="D1827" s="6" t="str">
        <f>"林杏"</f>
        <v>林杏</v>
      </c>
      <c r="E1827" s="6" t="str">
        <f t="shared" si="51"/>
        <v>女</v>
      </c>
    </row>
    <row r="1828" spans="1:5" ht="30" customHeight="1">
      <c r="A1828" s="6">
        <v>1826</v>
      </c>
      <c r="B1828" s="6" t="str">
        <f>"299420210531092658113039"</f>
        <v>299420210531092658113039</v>
      </c>
      <c r="C1828" s="6" t="s">
        <v>552</v>
      </c>
      <c r="D1828" s="6" t="str">
        <f>"王晶"</f>
        <v>王晶</v>
      </c>
      <c r="E1828" s="6" t="str">
        <f t="shared" si="51"/>
        <v>女</v>
      </c>
    </row>
    <row r="1829" spans="1:5" ht="30" customHeight="1">
      <c r="A1829" s="6">
        <v>1827</v>
      </c>
      <c r="B1829" s="6" t="str">
        <f>"299420210531094008113066"</f>
        <v>299420210531094008113066</v>
      </c>
      <c r="C1829" s="6" t="s">
        <v>552</v>
      </c>
      <c r="D1829" s="6" t="str">
        <f>"何思思"</f>
        <v>何思思</v>
      </c>
      <c r="E1829" s="6" t="str">
        <f t="shared" si="51"/>
        <v>女</v>
      </c>
    </row>
    <row r="1830" spans="1:5" ht="30" customHeight="1">
      <c r="A1830" s="6">
        <v>1828</v>
      </c>
      <c r="B1830" s="6" t="str">
        <f>"299420210531095024113089"</f>
        <v>299420210531095024113089</v>
      </c>
      <c r="C1830" s="6" t="s">
        <v>552</v>
      </c>
      <c r="D1830" s="6" t="str">
        <f>"蔡於良"</f>
        <v>蔡於良</v>
      </c>
      <c r="E1830" s="6" t="str">
        <f>"男"</f>
        <v>男</v>
      </c>
    </row>
    <row r="1831" spans="1:5" ht="30" customHeight="1">
      <c r="A1831" s="6">
        <v>1829</v>
      </c>
      <c r="B1831" s="6" t="str">
        <f>"299420210531100810113117"</f>
        <v>299420210531100810113117</v>
      </c>
      <c r="C1831" s="6" t="s">
        <v>552</v>
      </c>
      <c r="D1831" s="6" t="str">
        <f>"张雨婷"</f>
        <v>张雨婷</v>
      </c>
      <c r="E1831" s="6" t="str">
        <f aca="true" t="shared" si="52" ref="E1831:E1851">"女"</f>
        <v>女</v>
      </c>
    </row>
    <row r="1832" spans="1:5" ht="30" customHeight="1">
      <c r="A1832" s="6">
        <v>1830</v>
      </c>
      <c r="B1832" s="6" t="str">
        <f>"299420210531101109113126"</f>
        <v>299420210531101109113126</v>
      </c>
      <c r="C1832" s="6" t="s">
        <v>552</v>
      </c>
      <c r="D1832" s="6" t="str">
        <f>"吴太琴"</f>
        <v>吴太琴</v>
      </c>
      <c r="E1832" s="6" t="str">
        <f t="shared" si="52"/>
        <v>女</v>
      </c>
    </row>
    <row r="1833" spans="1:5" ht="30" customHeight="1">
      <c r="A1833" s="6">
        <v>1831</v>
      </c>
      <c r="B1833" s="6" t="str">
        <f>"299420210531103003113151"</f>
        <v>299420210531103003113151</v>
      </c>
      <c r="C1833" s="6" t="s">
        <v>552</v>
      </c>
      <c r="D1833" s="6" t="str">
        <f>"兰婷"</f>
        <v>兰婷</v>
      </c>
      <c r="E1833" s="6" t="str">
        <f t="shared" si="52"/>
        <v>女</v>
      </c>
    </row>
    <row r="1834" spans="1:5" ht="30" customHeight="1">
      <c r="A1834" s="6">
        <v>1832</v>
      </c>
      <c r="B1834" s="6" t="str">
        <f>"299420210531103332113163"</f>
        <v>299420210531103332113163</v>
      </c>
      <c r="C1834" s="6" t="s">
        <v>552</v>
      </c>
      <c r="D1834" s="6" t="str">
        <f>"曾德桂"</f>
        <v>曾德桂</v>
      </c>
      <c r="E1834" s="6" t="str">
        <f t="shared" si="52"/>
        <v>女</v>
      </c>
    </row>
    <row r="1835" spans="1:5" ht="30" customHeight="1">
      <c r="A1835" s="6">
        <v>1833</v>
      </c>
      <c r="B1835" s="6" t="str">
        <f>"299420210531105153113197"</f>
        <v>299420210531105153113197</v>
      </c>
      <c r="C1835" s="6" t="s">
        <v>552</v>
      </c>
      <c r="D1835" s="6" t="str">
        <f>"文欣欣"</f>
        <v>文欣欣</v>
      </c>
      <c r="E1835" s="6" t="str">
        <f t="shared" si="52"/>
        <v>女</v>
      </c>
    </row>
    <row r="1836" spans="1:5" ht="30" customHeight="1">
      <c r="A1836" s="6">
        <v>1834</v>
      </c>
      <c r="B1836" s="6" t="str">
        <f>"299420210531110108113212"</f>
        <v>299420210531110108113212</v>
      </c>
      <c r="C1836" s="6" t="s">
        <v>552</v>
      </c>
      <c r="D1836" s="6" t="str">
        <f>"庄瑾"</f>
        <v>庄瑾</v>
      </c>
      <c r="E1836" s="6" t="str">
        <f t="shared" si="52"/>
        <v>女</v>
      </c>
    </row>
    <row r="1837" spans="1:5" ht="30" customHeight="1">
      <c r="A1837" s="6">
        <v>1835</v>
      </c>
      <c r="B1837" s="6" t="str">
        <f>"299420210531110142113213"</f>
        <v>299420210531110142113213</v>
      </c>
      <c r="C1837" s="6" t="s">
        <v>552</v>
      </c>
      <c r="D1837" s="6" t="str">
        <f>"陈小慧"</f>
        <v>陈小慧</v>
      </c>
      <c r="E1837" s="6" t="str">
        <f t="shared" si="52"/>
        <v>女</v>
      </c>
    </row>
    <row r="1838" spans="1:5" ht="30" customHeight="1">
      <c r="A1838" s="6">
        <v>1836</v>
      </c>
      <c r="B1838" s="6" t="str">
        <f>"299420210531110751113223"</f>
        <v>299420210531110751113223</v>
      </c>
      <c r="C1838" s="6" t="s">
        <v>552</v>
      </c>
      <c r="D1838" s="6" t="str">
        <f>"史景艺"</f>
        <v>史景艺</v>
      </c>
      <c r="E1838" s="6" t="str">
        <f t="shared" si="52"/>
        <v>女</v>
      </c>
    </row>
    <row r="1839" spans="1:5" ht="30" customHeight="1">
      <c r="A1839" s="6">
        <v>1837</v>
      </c>
      <c r="B1839" s="6" t="str">
        <f>"299420210531111508113237"</f>
        <v>299420210531111508113237</v>
      </c>
      <c r="C1839" s="6" t="s">
        <v>552</v>
      </c>
      <c r="D1839" s="6" t="str">
        <f>"莫少婷"</f>
        <v>莫少婷</v>
      </c>
      <c r="E1839" s="6" t="str">
        <f t="shared" si="52"/>
        <v>女</v>
      </c>
    </row>
    <row r="1840" spans="1:5" ht="30" customHeight="1">
      <c r="A1840" s="6">
        <v>1838</v>
      </c>
      <c r="B1840" s="6" t="str">
        <f>"299420210531111958113245"</f>
        <v>299420210531111958113245</v>
      </c>
      <c r="C1840" s="6" t="s">
        <v>552</v>
      </c>
      <c r="D1840" s="6" t="str">
        <f>"林虹余"</f>
        <v>林虹余</v>
      </c>
      <c r="E1840" s="6" t="str">
        <f t="shared" si="52"/>
        <v>女</v>
      </c>
    </row>
    <row r="1841" spans="1:5" ht="30" customHeight="1">
      <c r="A1841" s="6">
        <v>1839</v>
      </c>
      <c r="B1841" s="6" t="str">
        <f>"299420210531112022113246"</f>
        <v>299420210531112022113246</v>
      </c>
      <c r="C1841" s="6" t="s">
        <v>552</v>
      </c>
      <c r="D1841" s="6" t="str">
        <f>"周姝彤"</f>
        <v>周姝彤</v>
      </c>
      <c r="E1841" s="6" t="str">
        <f t="shared" si="52"/>
        <v>女</v>
      </c>
    </row>
    <row r="1842" spans="1:5" ht="30" customHeight="1">
      <c r="A1842" s="6">
        <v>1840</v>
      </c>
      <c r="B1842" s="6" t="str">
        <f>"299420210531112123113249"</f>
        <v>299420210531112123113249</v>
      </c>
      <c r="C1842" s="6" t="s">
        <v>552</v>
      </c>
      <c r="D1842" s="6" t="str">
        <f>"符晓钰"</f>
        <v>符晓钰</v>
      </c>
      <c r="E1842" s="6" t="str">
        <f t="shared" si="52"/>
        <v>女</v>
      </c>
    </row>
    <row r="1843" spans="1:5" ht="30" customHeight="1">
      <c r="A1843" s="6">
        <v>1841</v>
      </c>
      <c r="B1843" s="6" t="str">
        <f>"299420210531113653113266"</f>
        <v>299420210531113653113266</v>
      </c>
      <c r="C1843" s="6" t="s">
        <v>552</v>
      </c>
      <c r="D1843" s="6" t="str">
        <f>"邝丽彬"</f>
        <v>邝丽彬</v>
      </c>
      <c r="E1843" s="6" t="str">
        <f t="shared" si="52"/>
        <v>女</v>
      </c>
    </row>
    <row r="1844" spans="1:5" ht="30" customHeight="1">
      <c r="A1844" s="6">
        <v>1842</v>
      </c>
      <c r="B1844" s="6" t="str">
        <f>"299420210531120058113288"</f>
        <v>299420210531120058113288</v>
      </c>
      <c r="C1844" s="6" t="s">
        <v>552</v>
      </c>
      <c r="D1844" s="6" t="str">
        <f>"黄颖"</f>
        <v>黄颖</v>
      </c>
      <c r="E1844" s="6" t="str">
        <f t="shared" si="52"/>
        <v>女</v>
      </c>
    </row>
    <row r="1845" spans="1:5" ht="30" customHeight="1">
      <c r="A1845" s="6">
        <v>1843</v>
      </c>
      <c r="B1845" s="6" t="str">
        <f>"299420210531120106113289"</f>
        <v>299420210531120106113289</v>
      </c>
      <c r="C1845" s="6" t="s">
        <v>552</v>
      </c>
      <c r="D1845" s="6" t="str">
        <f>"王江毓"</f>
        <v>王江毓</v>
      </c>
      <c r="E1845" s="6" t="str">
        <f t="shared" si="52"/>
        <v>女</v>
      </c>
    </row>
    <row r="1846" spans="1:5" ht="30" customHeight="1">
      <c r="A1846" s="6">
        <v>1844</v>
      </c>
      <c r="B1846" s="6" t="str">
        <f>"299420210531120114113290"</f>
        <v>299420210531120114113290</v>
      </c>
      <c r="C1846" s="6" t="s">
        <v>552</v>
      </c>
      <c r="D1846" s="6" t="str">
        <f>"陈星"</f>
        <v>陈星</v>
      </c>
      <c r="E1846" s="6" t="str">
        <f t="shared" si="52"/>
        <v>女</v>
      </c>
    </row>
    <row r="1847" spans="1:5" ht="30" customHeight="1">
      <c r="A1847" s="6">
        <v>1845</v>
      </c>
      <c r="B1847" s="6" t="str">
        <f>"299420210531120549113296"</f>
        <v>299420210531120549113296</v>
      </c>
      <c r="C1847" s="6" t="s">
        <v>552</v>
      </c>
      <c r="D1847" s="6" t="str">
        <f>"梁珊"</f>
        <v>梁珊</v>
      </c>
      <c r="E1847" s="6" t="str">
        <f t="shared" si="52"/>
        <v>女</v>
      </c>
    </row>
    <row r="1848" spans="1:5" ht="30" customHeight="1">
      <c r="A1848" s="6">
        <v>1846</v>
      </c>
      <c r="B1848" s="6" t="str">
        <f>"299420210531120818113301"</f>
        <v>299420210531120818113301</v>
      </c>
      <c r="C1848" s="6" t="s">
        <v>552</v>
      </c>
      <c r="D1848" s="6" t="str">
        <f>"陈春姣"</f>
        <v>陈春姣</v>
      </c>
      <c r="E1848" s="6" t="str">
        <f t="shared" si="52"/>
        <v>女</v>
      </c>
    </row>
    <row r="1849" spans="1:5" ht="30" customHeight="1">
      <c r="A1849" s="6">
        <v>1847</v>
      </c>
      <c r="B1849" s="6" t="str">
        <f>"299420210531122529113318"</f>
        <v>299420210531122529113318</v>
      </c>
      <c r="C1849" s="6" t="s">
        <v>552</v>
      </c>
      <c r="D1849" s="6" t="str">
        <f>"牛文静"</f>
        <v>牛文静</v>
      </c>
      <c r="E1849" s="6" t="str">
        <f t="shared" si="52"/>
        <v>女</v>
      </c>
    </row>
    <row r="1850" spans="1:5" ht="30" customHeight="1">
      <c r="A1850" s="6">
        <v>1848</v>
      </c>
      <c r="B1850" s="6" t="str">
        <f>"299420210531122745113323"</f>
        <v>299420210531122745113323</v>
      </c>
      <c r="C1850" s="6" t="s">
        <v>552</v>
      </c>
      <c r="D1850" s="6" t="str">
        <f>"彭小雪"</f>
        <v>彭小雪</v>
      </c>
      <c r="E1850" s="6" t="str">
        <f t="shared" si="52"/>
        <v>女</v>
      </c>
    </row>
    <row r="1851" spans="1:5" ht="30" customHeight="1">
      <c r="A1851" s="6">
        <v>1849</v>
      </c>
      <c r="B1851" s="6" t="str">
        <f>"299420210531125416113359"</f>
        <v>299420210531125416113359</v>
      </c>
      <c r="C1851" s="6" t="s">
        <v>552</v>
      </c>
      <c r="D1851" s="6" t="str">
        <f>"武小林"</f>
        <v>武小林</v>
      </c>
      <c r="E1851" s="6" t="str">
        <f t="shared" si="52"/>
        <v>女</v>
      </c>
    </row>
    <row r="1852" spans="1:5" ht="30" customHeight="1">
      <c r="A1852" s="6">
        <v>1850</v>
      </c>
      <c r="B1852" s="6" t="str">
        <f>"299420210531131153113392"</f>
        <v>299420210531131153113392</v>
      </c>
      <c r="C1852" s="6" t="s">
        <v>552</v>
      </c>
      <c r="D1852" s="6" t="str">
        <f>"崔开驹"</f>
        <v>崔开驹</v>
      </c>
      <c r="E1852" s="6" t="str">
        <f>"男"</f>
        <v>男</v>
      </c>
    </row>
    <row r="1853" spans="1:5" ht="30" customHeight="1">
      <c r="A1853" s="6">
        <v>1851</v>
      </c>
      <c r="B1853" s="6" t="str">
        <f>"299420210531131615113400"</f>
        <v>299420210531131615113400</v>
      </c>
      <c r="C1853" s="6" t="s">
        <v>552</v>
      </c>
      <c r="D1853" s="6" t="str">
        <f>"陈敏"</f>
        <v>陈敏</v>
      </c>
      <c r="E1853" s="6" t="str">
        <f aca="true" t="shared" si="53" ref="E1853:E1860">"女"</f>
        <v>女</v>
      </c>
    </row>
    <row r="1854" spans="1:5" ht="30" customHeight="1">
      <c r="A1854" s="6">
        <v>1852</v>
      </c>
      <c r="B1854" s="6" t="str">
        <f>"299420210531135556113447"</f>
        <v>299420210531135556113447</v>
      </c>
      <c r="C1854" s="6" t="s">
        <v>552</v>
      </c>
      <c r="D1854" s="6" t="str">
        <f>"林晓婷"</f>
        <v>林晓婷</v>
      </c>
      <c r="E1854" s="6" t="str">
        <f t="shared" si="53"/>
        <v>女</v>
      </c>
    </row>
    <row r="1855" spans="1:5" ht="30" customHeight="1">
      <c r="A1855" s="6">
        <v>1853</v>
      </c>
      <c r="B1855" s="6" t="str">
        <f>"299420210531141120113458"</f>
        <v>299420210531141120113458</v>
      </c>
      <c r="C1855" s="6" t="s">
        <v>552</v>
      </c>
      <c r="D1855" s="6" t="str">
        <f>"冷姗姗"</f>
        <v>冷姗姗</v>
      </c>
      <c r="E1855" s="6" t="str">
        <f t="shared" si="53"/>
        <v>女</v>
      </c>
    </row>
    <row r="1856" spans="1:5" ht="30" customHeight="1">
      <c r="A1856" s="6">
        <v>1854</v>
      </c>
      <c r="B1856" s="6" t="str">
        <f>"299420210531143836113486"</f>
        <v>299420210531143836113486</v>
      </c>
      <c r="C1856" s="6" t="s">
        <v>552</v>
      </c>
      <c r="D1856" s="6" t="str">
        <f>"李小晶"</f>
        <v>李小晶</v>
      </c>
      <c r="E1856" s="6" t="str">
        <f t="shared" si="53"/>
        <v>女</v>
      </c>
    </row>
    <row r="1857" spans="1:5" ht="30" customHeight="1">
      <c r="A1857" s="6">
        <v>1855</v>
      </c>
      <c r="B1857" s="6" t="str">
        <f>"299420210531145521113520"</f>
        <v>299420210531145521113520</v>
      </c>
      <c r="C1857" s="6" t="s">
        <v>552</v>
      </c>
      <c r="D1857" s="6" t="str">
        <f>"裴学婷"</f>
        <v>裴学婷</v>
      </c>
      <c r="E1857" s="6" t="str">
        <f t="shared" si="53"/>
        <v>女</v>
      </c>
    </row>
    <row r="1858" spans="1:5" ht="30" customHeight="1">
      <c r="A1858" s="6">
        <v>1856</v>
      </c>
      <c r="B1858" s="6" t="str">
        <f>"299420210531151602113557"</f>
        <v>299420210531151602113557</v>
      </c>
      <c r="C1858" s="6" t="s">
        <v>552</v>
      </c>
      <c r="D1858" s="6" t="str">
        <f>"程欣"</f>
        <v>程欣</v>
      </c>
      <c r="E1858" s="6" t="str">
        <f t="shared" si="53"/>
        <v>女</v>
      </c>
    </row>
    <row r="1859" spans="1:5" ht="30" customHeight="1">
      <c r="A1859" s="6">
        <v>1857</v>
      </c>
      <c r="B1859" s="6" t="str">
        <f>"299420210531151911113565"</f>
        <v>299420210531151911113565</v>
      </c>
      <c r="C1859" s="6" t="s">
        <v>552</v>
      </c>
      <c r="D1859" s="6" t="str">
        <f>"吴琼华"</f>
        <v>吴琼华</v>
      </c>
      <c r="E1859" s="6" t="str">
        <f t="shared" si="53"/>
        <v>女</v>
      </c>
    </row>
    <row r="1860" spans="1:5" ht="30" customHeight="1">
      <c r="A1860" s="6">
        <v>1858</v>
      </c>
      <c r="B1860" s="6" t="str">
        <f>"299420210531153825113591"</f>
        <v>299420210531153825113591</v>
      </c>
      <c r="C1860" s="6" t="s">
        <v>552</v>
      </c>
      <c r="D1860" s="6" t="str">
        <f>"符玉芬"</f>
        <v>符玉芬</v>
      </c>
      <c r="E1860" s="6" t="str">
        <f t="shared" si="53"/>
        <v>女</v>
      </c>
    </row>
    <row r="1861" spans="1:5" ht="30" customHeight="1">
      <c r="A1861" s="6">
        <v>1859</v>
      </c>
      <c r="B1861" s="6" t="str">
        <f>"299420210531154149113602"</f>
        <v>299420210531154149113602</v>
      </c>
      <c r="C1861" s="6" t="s">
        <v>552</v>
      </c>
      <c r="D1861" s="6" t="str">
        <f>"孙晨曦"</f>
        <v>孙晨曦</v>
      </c>
      <c r="E1861" s="6" t="str">
        <f>"男"</f>
        <v>男</v>
      </c>
    </row>
    <row r="1862" spans="1:5" ht="30" customHeight="1">
      <c r="A1862" s="6">
        <v>1860</v>
      </c>
      <c r="B1862" s="6" t="str">
        <f>"299420210531154435113606"</f>
        <v>299420210531154435113606</v>
      </c>
      <c r="C1862" s="6" t="s">
        <v>552</v>
      </c>
      <c r="D1862" s="6" t="str">
        <f>"吴晓雪"</f>
        <v>吴晓雪</v>
      </c>
      <c r="E1862" s="6" t="str">
        <f aca="true" t="shared" si="54" ref="E1862:E1868">"女"</f>
        <v>女</v>
      </c>
    </row>
    <row r="1863" spans="1:5" ht="30" customHeight="1">
      <c r="A1863" s="6">
        <v>1861</v>
      </c>
      <c r="B1863" s="6" t="str">
        <f>"299420210531155115113615"</f>
        <v>299420210531155115113615</v>
      </c>
      <c r="C1863" s="6" t="s">
        <v>552</v>
      </c>
      <c r="D1863" s="6" t="str">
        <f>"梁杨"</f>
        <v>梁杨</v>
      </c>
      <c r="E1863" s="6" t="str">
        <f t="shared" si="54"/>
        <v>女</v>
      </c>
    </row>
    <row r="1864" spans="1:5" ht="30" customHeight="1">
      <c r="A1864" s="6">
        <v>1862</v>
      </c>
      <c r="B1864" s="6" t="str">
        <f>"299420210531164655113689"</f>
        <v>299420210531164655113689</v>
      </c>
      <c r="C1864" s="6" t="s">
        <v>552</v>
      </c>
      <c r="D1864" s="6" t="str">
        <f>"易腊英"</f>
        <v>易腊英</v>
      </c>
      <c r="E1864" s="6" t="str">
        <f t="shared" si="54"/>
        <v>女</v>
      </c>
    </row>
    <row r="1865" spans="1:5" ht="30" customHeight="1">
      <c r="A1865" s="6">
        <v>1863</v>
      </c>
      <c r="B1865" s="6" t="str">
        <f>"299420210525090137104247"</f>
        <v>299420210525090137104247</v>
      </c>
      <c r="C1865" s="6" t="s">
        <v>553</v>
      </c>
      <c r="D1865" s="6" t="str">
        <f>"黄霞"</f>
        <v>黄霞</v>
      </c>
      <c r="E1865" s="6" t="str">
        <f t="shared" si="54"/>
        <v>女</v>
      </c>
    </row>
    <row r="1866" spans="1:5" ht="30" customHeight="1">
      <c r="A1866" s="6">
        <v>1864</v>
      </c>
      <c r="B1866" s="6" t="str">
        <f>"299420210525090217104250"</f>
        <v>299420210525090217104250</v>
      </c>
      <c r="C1866" s="6" t="s">
        <v>553</v>
      </c>
      <c r="D1866" s="6" t="str">
        <f>"林佳铮"</f>
        <v>林佳铮</v>
      </c>
      <c r="E1866" s="6" t="str">
        <f t="shared" si="54"/>
        <v>女</v>
      </c>
    </row>
    <row r="1867" spans="1:5" ht="30" customHeight="1">
      <c r="A1867" s="6">
        <v>1865</v>
      </c>
      <c r="B1867" s="6" t="str">
        <f>"299420210525090308104259"</f>
        <v>299420210525090308104259</v>
      </c>
      <c r="C1867" s="6" t="s">
        <v>553</v>
      </c>
      <c r="D1867" s="6" t="str">
        <f>"黄小云"</f>
        <v>黄小云</v>
      </c>
      <c r="E1867" s="6" t="str">
        <f t="shared" si="54"/>
        <v>女</v>
      </c>
    </row>
    <row r="1868" spans="1:5" ht="30" customHeight="1">
      <c r="A1868" s="6">
        <v>1866</v>
      </c>
      <c r="B1868" s="6" t="str">
        <f>"299420210525090426104270"</f>
        <v>299420210525090426104270</v>
      </c>
      <c r="C1868" s="6" t="s">
        <v>553</v>
      </c>
      <c r="D1868" s="6" t="str">
        <f>"文艳娟"</f>
        <v>文艳娟</v>
      </c>
      <c r="E1868" s="6" t="str">
        <f t="shared" si="54"/>
        <v>女</v>
      </c>
    </row>
    <row r="1869" spans="1:5" ht="30" customHeight="1">
      <c r="A1869" s="6">
        <v>1867</v>
      </c>
      <c r="B1869" s="6" t="str">
        <f>"299420210525090544104280"</f>
        <v>299420210525090544104280</v>
      </c>
      <c r="C1869" s="6" t="s">
        <v>553</v>
      </c>
      <c r="D1869" s="6" t="str">
        <f>"曾令嘉"</f>
        <v>曾令嘉</v>
      </c>
      <c r="E1869" s="6" t="str">
        <f>"男"</f>
        <v>男</v>
      </c>
    </row>
    <row r="1870" spans="1:5" ht="30" customHeight="1">
      <c r="A1870" s="6">
        <v>1868</v>
      </c>
      <c r="B1870" s="6" t="str">
        <f>"299420210525090552104281"</f>
        <v>299420210525090552104281</v>
      </c>
      <c r="C1870" s="6" t="s">
        <v>553</v>
      </c>
      <c r="D1870" s="6" t="str">
        <f>"何丽平"</f>
        <v>何丽平</v>
      </c>
      <c r="E1870" s="6" t="str">
        <f aca="true" t="shared" si="55" ref="E1870:E1877">"女"</f>
        <v>女</v>
      </c>
    </row>
    <row r="1871" spans="1:5" ht="30" customHeight="1">
      <c r="A1871" s="6">
        <v>1869</v>
      </c>
      <c r="B1871" s="6" t="str">
        <f>"299420210525090629104284"</f>
        <v>299420210525090629104284</v>
      </c>
      <c r="C1871" s="6" t="s">
        <v>553</v>
      </c>
      <c r="D1871" s="6" t="str">
        <f>"邓春燕"</f>
        <v>邓春燕</v>
      </c>
      <c r="E1871" s="6" t="str">
        <f t="shared" si="55"/>
        <v>女</v>
      </c>
    </row>
    <row r="1872" spans="1:5" ht="30" customHeight="1">
      <c r="A1872" s="6">
        <v>1870</v>
      </c>
      <c r="B1872" s="6" t="str">
        <f>"299420210525090727104289"</f>
        <v>299420210525090727104289</v>
      </c>
      <c r="C1872" s="6" t="s">
        <v>553</v>
      </c>
      <c r="D1872" s="6" t="str">
        <f>"莫金月"</f>
        <v>莫金月</v>
      </c>
      <c r="E1872" s="6" t="str">
        <f t="shared" si="55"/>
        <v>女</v>
      </c>
    </row>
    <row r="1873" spans="1:5" ht="30" customHeight="1">
      <c r="A1873" s="6">
        <v>1871</v>
      </c>
      <c r="B1873" s="6" t="str">
        <f>"299420210525090733104290"</f>
        <v>299420210525090733104290</v>
      </c>
      <c r="C1873" s="6" t="s">
        <v>553</v>
      </c>
      <c r="D1873" s="6" t="str">
        <f>"施秋梅"</f>
        <v>施秋梅</v>
      </c>
      <c r="E1873" s="6" t="str">
        <f t="shared" si="55"/>
        <v>女</v>
      </c>
    </row>
    <row r="1874" spans="1:5" ht="30" customHeight="1">
      <c r="A1874" s="6">
        <v>1872</v>
      </c>
      <c r="B1874" s="6" t="str">
        <f>"299420210525090842104296"</f>
        <v>299420210525090842104296</v>
      </c>
      <c r="C1874" s="6" t="s">
        <v>553</v>
      </c>
      <c r="D1874" s="6" t="str">
        <f>"王秀颖"</f>
        <v>王秀颖</v>
      </c>
      <c r="E1874" s="6" t="str">
        <f t="shared" si="55"/>
        <v>女</v>
      </c>
    </row>
    <row r="1875" spans="1:5" ht="30" customHeight="1">
      <c r="A1875" s="6">
        <v>1873</v>
      </c>
      <c r="B1875" s="6" t="str">
        <f>"299420210525090845104297"</f>
        <v>299420210525090845104297</v>
      </c>
      <c r="C1875" s="6" t="s">
        <v>553</v>
      </c>
      <c r="D1875" s="6" t="str">
        <f>"吴增玲"</f>
        <v>吴增玲</v>
      </c>
      <c r="E1875" s="6" t="str">
        <f t="shared" si="55"/>
        <v>女</v>
      </c>
    </row>
    <row r="1876" spans="1:5" ht="30" customHeight="1">
      <c r="A1876" s="6">
        <v>1874</v>
      </c>
      <c r="B1876" s="6" t="str">
        <f>"299420210525090944104304"</f>
        <v>299420210525090944104304</v>
      </c>
      <c r="C1876" s="6" t="s">
        <v>553</v>
      </c>
      <c r="D1876" s="6" t="str">
        <f>"韩雅熙"</f>
        <v>韩雅熙</v>
      </c>
      <c r="E1876" s="6" t="str">
        <f t="shared" si="55"/>
        <v>女</v>
      </c>
    </row>
    <row r="1877" spans="1:5" ht="30" customHeight="1">
      <c r="A1877" s="6">
        <v>1875</v>
      </c>
      <c r="B1877" s="6" t="str">
        <f>"299420210525091607104345"</f>
        <v>299420210525091607104345</v>
      </c>
      <c r="C1877" s="6" t="s">
        <v>553</v>
      </c>
      <c r="D1877" s="6" t="str">
        <f>"龚雪"</f>
        <v>龚雪</v>
      </c>
      <c r="E1877" s="6" t="str">
        <f t="shared" si="55"/>
        <v>女</v>
      </c>
    </row>
    <row r="1878" spans="1:5" ht="30" customHeight="1">
      <c r="A1878" s="6">
        <v>1876</v>
      </c>
      <c r="B1878" s="6" t="str">
        <f>"299420210525091850104365"</f>
        <v>299420210525091850104365</v>
      </c>
      <c r="C1878" s="6" t="s">
        <v>553</v>
      </c>
      <c r="D1878" s="6" t="str">
        <f>"袁浩"</f>
        <v>袁浩</v>
      </c>
      <c r="E1878" s="6" t="str">
        <f>"男"</f>
        <v>男</v>
      </c>
    </row>
    <row r="1879" spans="1:5" ht="30" customHeight="1">
      <c r="A1879" s="6">
        <v>1877</v>
      </c>
      <c r="B1879" s="6" t="str">
        <f>"299420210525091910104367"</f>
        <v>299420210525091910104367</v>
      </c>
      <c r="C1879" s="6" t="s">
        <v>553</v>
      </c>
      <c r="D1879" s="6" t="str">
        <f>"王志元"</f>
        <v>王志元</v>
      </c>
      <c r="E1879" s="6" t="str">
        <f>"男"</f>
        <v>男</v>
      </c>
    </row>
    <row r="1880" spans="1:5" ht="30" customHeight="1">
      <c r="A1880" s="6">
        <v>1878</v>
      </c>
      <c r="B1880" s="6" t="str">
        <f>"299420210525092114104378"</f>
        <v>299420210525092114104378</v>
      </c>
      <c r="C1880" s="6" t="s">
        <v>553</v>
      </c>
      <c r="D1880" s="6" t="str">
        <f>"林姑"</f>
        <v>林姑</v>
      </c>
      <c r="E1880" s="6" t="str">
        <f aca="true" t="shared" si="56" ref="E1880:E1915">"女"</f>
        <v>女</v>
      </c>
    </row>
    <row r="1881" spans="1:5" ht="30" customHeight="1">
      <c r="A1881" s="6">
        <v>1879</v>
      </c>
      <c r="B1881" s="6" t="str">
        <f>"299420210525092425104392"</f>
        <v>299420210525092425104392</v>
      </c>
      <c r="C1881" s="6" t="s">
        <v>553</v>
      </c>
      <c r="D1881" s="6" t="str">
        <f>"王晓颖"</f>
        <v>王晓颖</v>
      </c>
      <c r="E1881" s="6" t="str">
        <f t="shared" si="56"/>
        <v>女</v>
      </c>
    </row>
    <row r="1882" spans="1:5" ht="30" customHeight="1">
      <c r="A1882" s="6">
        <v>1880</v>
      </c>
      <c r="B1882" s="6" t="str">
        <f>"299420210525092432104394"</f>
        <v>299420210525092432104394</v>
      </c>
      <c r="C1882" s="6" t="s">
        <v>553</v>
      </c>
      <c r="D1882" s="6" t="str">
        <f>"李霞"</f>
        <v>李霞</v>
      </c>
      <c r="E1882" s="6" t="str">
        <f t="shared" si="56"/>
        <v>女</v>
      </c>
    </row>
    <row r="1883" spans="1:5" ht="30" customHeight="1">
      <c r="A1883" s="6">
        <v>1881</v>
      </c>
      <c r="B1883" s="6" t="str">
        <f>"299420210525092433104395"</f>
        <v>299420210525092433104395</v>
      </c>
      <c r="C1883" s="6" t="s">
        <v>553</v>
      </c>
      <c r="D1883" s="6" t="str">
        <f>"陈琼"</f>
        <v>陈琼</v>
      </c>
      <c r="E1883" s="6" t="str">
        <f t="shared" si="56"/>
        <v>女</v>
      </c>
    </row>
    <row r="1884" spans="1:5" ht="30" customHeight="1">
      <c r="A1884" s="6">
        <v>1882</v>
      </c>
      <c r="B1884" s="6" t="str">
        <f>"299420210525092455104397"</f>
        <v>299420210525092455104397</v>
      </c>
      <c r="C1884" s="6" t="s">
        <v>553</v>
      </c>
      <c r="D1884" s="6" t="str">
        <f>"王莉"</f>
        <v>王莉</v>
      </c>
      <c r="E1884" s="6" t="str">
        <f t="shared" si="56"/>
        <v>女</v>
      </c>
    </row>
    <row r="1885" spans="1:5" ht="30" customHeight="1">
      <c r="A1885" s="6">
        <v>1883</v>
      </c>
      <c r="B1885" s="6" t="str">
        <f>"299420210525092602104405"</f>
        <v>299420210525092602104405</v>
      </c>
      <c r="C1885" s="6" t="s">
        <v>553</v>
      </c>
      <c r="D1885" s="6" t="str">
        <f>"周婆姣"</f>
        <v>周婆姣</v>
      </c>
      <c r="E1885" s="6" t="str">
        <f t="shared" si="56"/>
        <v>女</v>
      </c>
    </row>
    <row r="1886" spans="1:5" ht="30" customHeight="1">
      <c r="A1886" s="6">
        <v>1884</v>
      </c>
      <c r="B1886" s="6" t="str">
        <f>"299420210525092748104413"</f>
        <v>299420210525092748104413</v>
      </c>
      <c r="C1886" s="6" t="s">
        <v>553</v>
      </c>
      <c r="D1886" s="6" t="str">
        <f>"唐菊"</f>
        <v>唐菊</v>
      </c>
      <c r="E1886" s="6" t="str">
        <f t="shared" si="56"/>
        <v>女</v>
      </c>
    </row>
    <row r="1887" spans="1:5" ht="30" customHeight="1">
      <c r="A1887" s="6">
        <v>1885</v>
      </c>
      <c r="B1887" s="6" t="str">
        <f>"299420210525093519104453"</f>
        <v>299420210525093519104453</v>
      </c>
      <c r="C1887" s="6" t="s">
        <v>553</v>
      </c>
      <c r="D1887" s="6" t="str">
        <f>"符秀红"</f>
        <v>符秀红</v>
      </c>
      <c r="E1887" s="6" t="str">
        <f t="shared" si="56"/>
        <v>女</v>
      </c>
    </row>
    <row r="1888" spans="1:5" ht="30" customHeight="1">
      <c r="A1888" s="6">
        <v>1886</v>
      </c>
      <c r="B1888" s="6" t="str">
        <f>"299420210525093725104465"</f>
        <v>299420210525093725104465</v>
      </c>
      <c r="C1888" s="6" t="s">
        <v>553</v>
      </c>
      <c r="D1888" s="6" t="str">
        <f>"肖宇虹"</f>
        <v>肖宇虹</v>
      </c>
      <c r="E1888" s="6" t="str">
        <f t="shared" si="56"/>
        <v>女</v>
      </c>
    </row>
    <row r="1889" spans="1:5" ht="30" customHeight="1">
      <c r="A1889" s="6">
        <v>1887</v>
      </c>
      <c r="B1889" s="6" t="str">
        <f>"299420210525093756104468"</f>
        <v>299420210525093756104468</v>
      </c>
      <c r="C1889" s="6" t="s">
        <v>553</v>
      </c>
      <c r="D1889" s="6" t="str">
        <f>"符凤香"</f>
        <v>符凤香</v>
      </c>
      <c r="E1889" s="6" t="str">
        <f t="shared" si="56"/>
        <v>女</v>
      </c>
    </row>
    <row r="1890" spans="1:5" ht="30" customHeight="1">
      <c r="A1890" s="6">
        <v>1888</v>
      </c>
      <c r="B1890" s="6" t="str">
        <f>"299420210525094006104480"</f>
        <v>299420210525094006104480</v>
      </c>
      <c r="C1890" s="6" t="s">
        <v>553</v>
      </c>
      <c r="D1890" s="6" t="str">
        <f>"钟家芬"</f>
        <v>钟家芬</v>
      </c>
      <c r="E1890" s="6" t="str">
        <f t="shared" si="56"/>
        <v>女</v>
      </c>
    </row>
    <row r="1891" spans="1:5" ht="30" customHeight="1">
      <c r="A1891" s="6">
        <v>1889</v>
      </c>
      <c r="B1891" s="6" t="str">
        <f>"299420210525094120104485"</f>
        <v>299420210525094120104485</v>
      </c>
      <c r="C1891" s="6" t="s">
        <v>553</v>
      </c>
      <c r="D1891" s="6" t="str">
        <f>"陈奕伊"</f>
        <v>陈奕伊</v>
      </c>
      <c r="E1891" s="6" t="str">
        <f t="shared" si="56"/>
        <v>女</v>
      </c>
    </row>
    <row r="1892" spans="1:5" ht="30" customHeight="1">
      <c r="A1892" s="6">
        <v>1890</v>
      </c>
      <c r="B1892" s="6" t="str">
        <f>"299420210525094310104503"</f>
        <v>299420210525094310104503</v>
      </c>
      <c r="C1892" s="6" t="s">
        <v>553</v>
      </c>
      <c r="D1892" s="6" t="str">
        <f>"周振悠"</f>
        <v>周振悠</v>
      </c>
      <c r="E1892" s="6" t="str">
        <f t="shared" si="56"/>
        <v>女</v>
      </c>
    </row>
    <row r="1893" spans="1:5" ht="30" customHeight="1">
      <c r="A1893" s="6">
        <v>1891</v>
      </c>
      <c r="B1893" s="6" t="str">
        <f>"299420210525094623104523"</f>
        <v>299420210525094623104523</v>
      </c>
      <c r="C1893" s="6" t="s">
        <v>553</v>
      </c>
      <c r="D1893" s="6" t="str">
        <f>"李静"</f>
        <v>李静</v>
      </c>
      <c r="E1893" s="6" t="str">
        <f t="shared" si="56"/>
        <v>女</v>
      </c>
    </row>
    <row r="1894" spans="1:5" ht="30" customHeight="1">
      <c r="A1894" s="6">
        <v>1892</v>
      </c>
      <c r="B1894" s="6" t="str">
        <f>"299420210525094850104541"</f>
        <v>299420210525094850104541</v>
      </c>
      <c r="C1894" s="6" t="s">
        <v>553</v>
      </c>
      <c r="D1894" s="6" t="str">
        <f>"郑小丽"</f>
        <v>郑小丽</v>
      </c>
      <c r="E1894" s="6" t="str">
        <f t="shared" si="56"/>
        <v>女</v>
      </c>
    </row>
    <row r="1895" spans="1:5" ht="30" customHeight="1">
      <c r="A1895" s="6">
        <v>1893</v>
      </c>
      <c r="B1895" s="6" t="str">
        <f>"299420210525095022104546"</f>
        <v>299420210525095022104546</v>
      </c>
      <c r="C1895" s="6" t="s">
        <v>553</v>
      </c>
      <c r="D1895" s="6" t="str">
        <f>"王玉菲"</f>
        <v>王玉菲</v>
      </c>
      <c r="E1895" s="6" t="str">
        <f t="shared" si="56"/>
        <v>女</v>
      </c>
    </row>
    <row r="1896" spans="1:5" ht="30" customHeight="1">
      <c r="A1896" s="6">
        <v>1894</v>
      </c>
      <c r="B1896" s="6" t="str">
        <f>"299420210525095120104548"</f>
        <v>299420210525095120104548</v>
      </c>
      <c r="C1896" s="6" t="s">
        <v>553</v>
      </c>
      <c r="D1896" s="6" t="str">
        <f>"朱万玲"</f>
        <v>朱万玲</v>
      </c>
      <c r="E1896" s="6" t="str">
        <f t="shared" si="56"/>
        <v>女</v>
      </c>
    </row>
    <row r="1897" spans="1:5" ht="30" customHeight="1">
      <c r="A1897" s="6">
        <v>1895</v>
      </c>
      <c r="B1897" s="6" t="str">
        <f>"299420210525095143104551"</f>
        <v>299420210525095143104551</v>
      </c>
      <c r="C1897" s="6" t="s">
        <v>553</v>
      </c>
      <c r="D1897" s="6" t="str">
        <f>"陈晓玲"</f>
        <v>陈晓玲</v>
      </c>
      <c r="E1897" s="6" t="str">
        <f t="shared" si="56"/>
        <v>女</v>
      </c>
    </row>
    <row r="1898" spans="1:5" ht="30" customHeight="1">
      <c r="A1898" s="6">
        <v>1896</v>
      </c>
      <c r="B1898" s="6" t="str">
        <f>"299420210525095732104587"</f>
        <v>299420210525095732104587</v>
      </c>
      <c r="C1898" s="6" t="s">
        <v>553</v>
      </c>
      <c r="D1898" s="6" t="str">
        <f>"陈晓雯"</f>
        <v>陈晓雯</v>
      </c>
      <c r="E1898" s="6" t="str">
        <f t="shared" si="56"/>
        <v>女</v>
      </c>
    </row>
    <row r="1899" spans="1:5" ht="30" customHeight="1">
      <c r="A1899" s="6">
        <v>1897</v>
      </c>
      <c r="B1899" s="6" t="str">
        <f>"299420210525100001104600"</f>
        <v>299420210525100001104600</v>
      </c>
      <c r="C1899" s="6" t="s">
        <v>553</v>
      </c>
      <c r="D1899" s="6" t="str">
        <f>"朱娟葵"</f>
        <v>朱娟葵</v>
      </c>
      <c r="E1899" s="6" t="str">
        <f t="shared" si="56"/>
        <v>女</v>
      </c>
    </row>
    <row r="1900" spans="1:5" ht="30" customHeight="1">
      <c r="A1900" s="6">
        <v>1898</v>
      </c>
      <c r="B1900" s="6" t="str">
        <f>"299420210525100215104612"</f>
        <v>299420210525100215104612</v>
      </c>
      <c r="C1900" s="6" t="s">
        <v>553</v>
      </c>
      <c r="D1900" s="6" t="str">
        <f>"吕秋妹"</f>
        <v>吕秋妹</v>
      </c>
      <c r="E1900" s="6" t="str">
        <f t="shared" si="56"/>
        <v>女</v>
      </c>
    </row>
    <row r="1901" spans="1:5" ht="30" customHeight="1">
      <c r="A1901" s="6">
        <v>1899</v>
      </c>
      <c r="B1901" s="6" t="str">
        <f>"299420210525100217104613"</f>
        <v>299420210525100217104613</v>
      </c>
      <c r="C1901" s="6" t="s">
        <v>553</v>
      </c>
      <c r="D1901" s="6" t="str">
        <f>"王彩霞"</f>
        <v>王彩霞</v>
      </c>
      <c r="E1901" s="6" t="str">
        <f t="shared" si="56"/>
        <v>女</v>
      </c>
    </row>
    <row r="1902" spans="1:5" ht="30" customHeight="1">
      <c r="A1902" s="6">
        <v>1900</v>
      </c>
      <c r="B1902" s="6" t="str">
        <f>"299420210525100217104614"</f>
        <v>299420210525100217104614</v>
      </c>
      <c r="C1902" s="6" t="s">
        <v>553</v>
      </c>
      <c r="D1902" s="6" t="str">
        <f>"谢桂琴"</f>
        <v>谢桂琴</v>
      </c>
      <c r="E1902" s="6" t="str">
        <f t="shared" si="56"/>
        <v>女</v>
      </c>
    </row>
    <row r="1903" spans="1:5" ht="30" customHeight="1">
      <c r="A1903" s="6">
        <v>1901</v>
      </c>
      <c r="B1903" s="6" t="str">
        <f>"299420210525100531104633"</f>
        <v>299420210525100531104633</v>
      </c>
      <c r="C1903" s="6" t="s">
        <v>553</v>
      </c>
      <c r="D1903" s="6" t="str">
        <f>"李月冠"</f>
        <v>李月冠</v>
      </c>
      <c r="E1903" s="6" t="str">
        <f t="shared" si="56"/>
        <v>女</v>
      </c>
    </row>
    <row r="1904" spans="1:5" ht="30" customHeight="1">
      <c r="A1904" s="6">
        <v>1902</v>
      </c>
      <c r="B1904" s="6" t="str">
        <f>"299420210525100739104643"</f>
        <v>299420210525100739104643</v>
      </c>
      <c r="C1904" s="6" t="s">
        <v>553</v>
      </c>
      <c r="D1904" s="6" t="str">
        <f>"李华冰"</f>
        <v>李华冰</v>
      </c>
      <c r="E1904" s="6" t="str">
        <f t="shared" si="56"/>
        <v>女</v>
      </c>
    </row>
    <row r="1905" spans="1:5" ht="30" customHeight="1">
      <c r="A1905" s="6">
        <v>1903</v>
      </c>
      <c r="B1905" s="6" t="str">
        <f>"299420210525100832104647"</f>
        <v>299420210525100832104647</v>
      </c>
      <c r="C1905" s="6" t="s">
        <v>553</v>
      </c>
      <c r="D1905" s="6" t="str">
        <f>"唐小丽"</f>
        <v>唐小丽</v>
      </c>
      <c r="E1905" s="6" t="str">
        <f t="shared" si="56"/>
        <v>女</v>
      </c>
    </row>
    <row r="1906" spans="1:5" ht="30" customHeight="1">
      <c r="A1906" s="6">
        <v>1904</v>
      </c>
      <c r="B1906" s="6" t="str">
        <f>"299420210525101335104677"</f>
        <v>299420210525101335104677</v>
      </c>
      <c r="C1906" s="6" t="s">
        <v>553</v>
      </c>
      <c r="D1906" s="6" t="str">
        <f>"任惠敏"</f>
        <v>任惠敏</v>
      </c>
      <c r="E1906" s="6" t="str">
        <f t="shared" si="56"/>
        <v>女</v>
      </c>
    </row>
    <row r="1907" spans="1:5" ht="30" customHeight="1">
      <c r="A1907" s="6">
        <v>1905</v>
      </c>
      <c r="B1907" s="6" t="str">
        <f>"299420210525101607104691"</f>
        <v>299420210525101607104691</v>
      </c>
      <c r="C1907" s="6" t="s">
        <v>553</v>
      </c>
      <c r="D1907" s="6" t="str">
        <f>"关万莹"</f>
        <v>关万莹</v>
      </c>
      <c r="E1907" s="6" t="str">
        <f t="shared" si="56"/>
        <v>女</v>
      </c>
    </row>
    <row r="1908" spans="1:5" ht="30" customHeight="1">
      <c r="A1908" s="6">
        <v>1906</v>
      </c>
      <c r="B1908" s="6" t="str">
        <f>"299420210525101950104716"</f>
        <v>299420210525101950104716</v>
      </c>
      <c r="C1908" s="6" t="s">
        <v>553</v>
      </c>
      <c r="D1908" s="6" t="str">
        <f>"王俊玉"</f>
        <v>王俊玉</v>
      </c>
      <c r="E1908" s="6" t="str">
        <f t="shared" si="56"/>
        <v>女</v>
      </c>
    </row>
    <row r="1909" spans="1:5" ht="30" customHeight="1">
      <c r="A1909" s="6">
        <v>1907</v>
      </c>
      <c r="B1909" s="6" t="str">
        <f>"299420210525102154104728"</f>
        <v>299420210525102154104728</v>
      </c>
      <c r="C1909" s="6" t="s">
        <v>553</v>
      </c>
      <c r="D1909" s="6" t="str">
        <f>"吴燕"</f>
        <v>吴燕</v>
      </c>
      <c r="E1909" s="6" t="str">
        <f t="shared" si="56"/>
        <v>女</v>
      </c>
    </row>
    <row r="1910" spans="1:5" ht="30" customHeight="1">
      <c r="A1910" s="6">
        <v>1908</v>
      </c>
      <c r="B1910" s="6" t="str">
        <f>"299420210525102209104730"</f>
        <v>299420210525102209104730</v>
      </c>
      <c r="C1910" s="6" t="s">
        <v>553</v>
      </c>
      <c r="D1910" s="6" t="str">
        <f>"邓景元"</f>
        <v>邓景元</v>
      </c>
      <c r="E1910" s="6" t="str">
        <f t="shared" si="56"/>
        <v>女</v>
      </c>
    </row>
    <row r="1911" spans="1:5" ht="30" customHeight="1">
      <c r="A1911" s="6">
        <v>1909</v>
      </c>
      <c r="B1911" s="6" t="str">
        <f>"299420210525102624104768"</f>
        <v>299420210525102624104768</v>
      </c>
      <c r="C1911" s="6" t="s">
        <v>553</v>
      </c>
      <c r="D1911" s="6" t="str">
        <f>"林明娜"</f>
        <v>林明娜</v>
      </c>
      <c r="E1911" s="6" t="str">
        <f t="shared" si="56"/>
        <v>女</v>
      </c>
    </row>
    <row r="1912" spans="1:5" ht="30" customHeight="1">
      <c r="A1912" s="6">
        <v>1910</v>
      </c>
      <c r="B1912" s="6" t="str">
        <f>"299420210525102702104773"</f>
        <v>299420210525102702104773</v>
      </c>
      <c r="C1912" s="6" t="s">
        <v>553</v>
      </c>
      <c r="D1912" s="6" t="str">
        <f>"王定颐"</f>
        <v>王定颐</v>
      </c>
      <c r="E1912" s="6" t="str">
        <f t="shared" si="56"/>
        <v>女</v>
      </c>
    </row>
    <row r="1913" spans="1:5" ht="30" customHeight="1">
      <c r="A1913" s="6">
        <v>1911</v>
      </c>
      <c r="B1913" s="6" t="str">
        <f>"299420210525102902104783"</f>
        <v>299420210525102902104783</v>
      </c>
      <c r="C1913" s="6" t="s">
        <v>553</v>
      </c>
      <c r="D1913" s="6" t="str">
        <f>"吴朝阳"</f>
        <v>吴朝阳</v>
      </c>
      <c r="E1913" s="6" t="str">
        <f t="shared" si="56"/>
        <v>女</v>
      </c>
    </row>
    <row r="1914" spans="1:5" ht="30" customHeight="1">
      <c r="A1914" s="6">
        <v>1912</v>
      </c>
      <c r="B1914" s="6" t="str">
        <f>"299420210525103340104821"</f>
        <v>299420210525103340104821</v>
      </c>
      <c r="C1914" s="6" t="s">
        <v>553</v>
      </c>
      <c r="D1914" s="6" t="str">
        <f>"陈丹"</f>
        <v>陈丹</v>
      </c>
      <c r="E1914" s="6" t="str">
        <f t="shared" si="56"/>
        <v>女</v>
      </c>
    </row>
    <row r="1915" spans="1:5" ht="30" customHeight="1">
      <c r="A1915" s="6">
        <v>1913</v>
      </c>
      <c r="B1915" s="6" t="str">
        <f>"299420210525103506104830"</f>
        <v>299420210525103506104830</v>
      </c>
      <c r="C1915" s="6" t="s">
        <v>553</v>
      </c>
      <c r="D1915" s="6" t="str">
        <f>"邢金媚"</f>
        <v>邢金媚</v>
      </c>
      <c r="E1915" s="6" t="str">
        <f t="shared" si="56"/>
        <v>女</v>
      </c>
    </row>
    <row r="1916" spans="1:5" ht="30" customHeight="1">
      <c r="A1916" s="6">
        <v>1914</v>
      </c>
      <c r="B1916" s="6" t="str">
        <f>"299420210525103704104845"</f>
        <v>299420210525103704104845</v>
      </c>
      <c r="C1916" s="6" t="s">
        <v>553</v>
      </c>
      <c r="D1916" s="6" t="str">
        <f>"高建龙"</f>
        <v>高建龙</v>
      </c>
      <c r="E1916" s="6" t="str">
        <f>"男"</f>
        <v>男</v>
      </c>
    </row>
    <row r="1917" spans="1:5" ht="30" customHeight="1">
      <c r="A1917" s="6">
        <v>1915</v>
      </c>
      <c r="B1917" s="6" t="str">
        <f>"299420210525103724104847"</f>
        <v>299420210525103724104847</v>
      </c>
      <c r="C1917" s="6" t="s">
        <v>553</v>
      </c>
      <c r="D1917" s="6" t="str">
        <f>"张柠"</f>
        <v>张柠</v>
      </c>
      <c r="E1917" s="6" t="str">
        <f>"女"</f>
        <v>女</v>
      </c>
    </row>
    <row r="1918" spans="1:5" ht="30" customHeight="1">
      <c r="A1918" s="6">
        <v>1916</v>
      </c>
      <c r="B1918" s="6" t="str">
        <f>"299420210525104007104866"</f>
        <v>299420210525104007104866</v>
      </c>
      <c r="C1918" s="6" t="s">
        <v>553</v>
      </c>
      <c r="D1918" s="6" t="str">
        <f>"蒋乾泽"</f>
        <v>蒋乾泽</v>
      </c>
      <c r="E1918" s="6" t="str">
        <f>"男"</f>
        <v>男</v>
      </c>
    </row>
    <row r="1919" spans="1:5" ht="30" customHeight="1">
      <c r="A1919" s="6">
        <v>1917</v>
      </c>
      <c r="B1919" s="6" t="str">
        <f>"299420210525104219104874"</f>
        <v>299420210525104219104874</v>
      </c>
      <c r="C1919" s="6" t="s">
        <v>553</v>
      </c>
      <c r="D1919" s="6" t="str">
        <f>"万英姿"</f>
        <v>万英姿</v>
      </c>
      <c r="E1919" s="6" t="str">
        <f aca="true" t="shared" si="57" ref="E1919:E1927">"女"</f>
        <v>女</v>
      </c>
    </row>
    <row r="1920" spans="1:5" ht="30" customHeight="1">
      <c r="A1920" s="6">
        <v>1918</v>
      </c>
      <c r="B1920" s="6" t="str">
        <f>"299420210525104413104881"</f>
        <v>299420210525104413104881</v>
      </c>
      <c r="C1920" s="6" t="s">
        <v>553</v>
      </c>
      <c r="D1920" s="6" t="str">
        <f>"吴秋云"</f>
        <v>吴秋云</v>
      </c>
      <c r="E1920" s="6" t="str">
        <f t="shared" si="57"/>
        <v>女</v>
      </c>
    </row>
    <row r="1921" spans="1:5" ht="30" customHeight="1">
      <c r="A1921" s="6">
        <v>1919</v>
      </c>
      <c r="B1921" s="6" t="str">
        <f>"299420210525104843104911"</f>
        <v>299420210525104843104911</v>
      </c>
      <c r="C1921" s="6" t="s">
        <v>553</v>
      </c>
      <c r="D1921" s="6" t="str">
        <f>"曾敬娥"</f>
        <v>曾敬娥</v>
      </c>
      <c r="E1921" s="6" t="str">
        <f t="shared" si="57"/>
        <v>女</v>
      </c>
    </row>
    <row r="1922" spans="1:5" ht="30" customHeight="1">
      <c r="A1922" s="6">
        <v>1920</v>
      </c>
      <c r="B1922" s="6" t="str">
        <f>"299420210525105052104921"</f>
        <v>299420210525105052104921</v>
      </c>
      <c r="C1922" s="6" t="s">
        <v>553</v>
      </c>
      <c r="D1922" s="6" t="str">
        <f>"冯小云"</f>
        <v>冯小云</v>
      </c>
      <c r="E1922" s="6" t="str">
        <f t="shared" si="57"/>
        <v>女</v>
      </c>
    </row>
    <row r="1923" spans="1:5" ht="30" customHeight="1">
      <c r="A1923" s="6">
        <v>1921</v>
      </c>
      <c r="B1923" s="6" t="str">
        <f>"299420210525105306104932"</f>
        <v>299420210525105306104932</v>
      </c>
      <c r="C1923" s="6" t="s">
        <v>553</v>
      </c>
      <c r="D1923" s="6" t="str">
        <f>"黎姿"</f>
        <v>黎姿</v>
      </c>
      <c r="E1923" s="6" t="str">
        <f t="shared" si="57"/>
        <v>女</v>
      </c>
    </row>
    <row r="1924" spans="1:5" ht="30" customHeight="1">
      <c r="A1924" s="6">
        <v>1922</v>
      </c>
      <c r="B1924" s="6" t="str">
        <f>"299420210525105415104936"</f>
        <v>299420210525105415104936</v>
      </c>
      <c r="C1924" s="6" t="s">
        <v>553</v>
      </c>
      <c r="D1924" s="6" t="str">
        <f>"洪霞"</f>
        <v>洪霞</v>
      </c>
      <c r="E1924" s="6" t="str">
        <f t="shared" si="57"/>
        <v>女</v>
      </c>
    </row>
    <row r="1925" spans="1:5" ht="30" customHeight="1">
      <c r="A1925" s="6">
        <v>1923</v>
      </c>
      <c r="B1925" s="6" t="str">
        <f>"299420210525105511104942"</f>
        <v>299420210525105511104942</v>
      </c>
      <c r="C1925" s="6" t="s">
        <v>553</v>
      </c>
      <c r="D1925" s="6" t="str">
        <f>"陈彩妹"</f>
        <v>陈彩妹</v>
      </c>
      <c r="E1925" s="6" t="str">
        <f t="shared" si="57"/>
        <v>女</v>
      </c>
    </row>
    <row r="1926" spans="1:5" ht="30" customHeight="1">
      <c r="A1926" s="6">
        <v>1924</v>
      </c>
      <c r="B1926" s="6" t="str">
        <f>"299420210525105845104960"</f>
        <v>299420210525105845104960</v>
      </c>
      <c r="C1926" s="6" t="s">
        <v>553</v>
      </c>
      <c r="D1926" s="6" t="str">
        <f>"徐庄岚"</f>
        <v>徐庄岚</v>
      </c>
      <c r="E1926" s="6" t="str">
        <f t="shared" si="57"/>
        <v>女</v>
      </c>
    </row>
    <row r="1927" spans="1:5" ht="30" customHeight="1">
      <c r="A1927" s="6">
        <v>1925</v>
      </c>
      <c r="B1927" s="6" t="str">
        <f>"299420210525110441104982"</f>
        <v>299420210525110441104982</v>
      </c>
      <c r="C1927" s="6" t="s">
        <v>553</v>
      </c>
      <c r="D1927" s="6" t="str">
        <f>"万智霞"</f>
        <v>万智霞</v>
      </c>
      <c r="E1927" s="6" t="str">
        <f t="shared" si="57"/>
        <v>女</v>
      </c>
    </row>
    <row r="1928" spans="1:5" ht="30" customHeight="1">
      <c r="A1928" s="6">
        <v>1926</v>
      </c>
      <c r="B1928" s="6" t="str">
        <f>"299420210525110806104998"</f>
        <v>299420210525110806104998</v>
      </c>
      <c r="C1928" s="6" t="s">
        <v>553</v>
      </c>
      <c r="D1928" s="6" t="str">
        <f>"陈川海"</f>
        <v>陈川海</v>
      </c>
      <c r="E1928" s="6" t="str">
        <f>"男"</f>
        <v>男</v>
      </c>
    </row>
    <row r="1929" spans="1:5" ht="30" customHeight="1">
      <c r="A1929" s="6">
        <v>1927</v>
      </c>
      <c r="B1929" s="6" t="str">
        <f>"299420210525111006105006"</f>
        <v>299420210525111006105006</v>
      </c>
      <c r="C1929" s="6" t="s">
        <v>553</v>
      </c>
      <c r="D1929" s="6" t="str">
        <f>"薛乾妃"</f>
        <v>薛乾妃</v>
      </c>
      <c r="E1929" s="6" t="str">
        <f>"女"</f>
        <v>女</v>
      </c>
    </row>
    <row r="1930" spans="1:5" ht="30" customHeight="1">
      <c r="A1930" s="6">
        <v>1928</v>
      </c>
      <c r="B1930" s="6" t="str">
        <f>"299420210525111513105034"</f>
        <v>299420210525111513105034</v>
      </c>
      <c r="C1930" s="6" t="s">
        <v>553</v>
      </c>
      <c r="D1930" s="6" t="str">
        <f>"张昌麒"</f>
        <v>张昌麒</v>
      </c>
      <c r="E1930" s="6" t="str">
        <f>"男"</f>
        <v>男</v>
      </c>
    </row>
    <row r="1931" spans="1:5" ht="30" customHeight="1">
      <c r="A1931" s="6">
        <v>1929</v>
      </c>
      <c r="B1931" s="6" t="str">
        <f>"299420210525112035105062"</f>
        <v>299420210525112035105062</v>
      </c>
      <c r="C1931" s="6" t="s">
        <v>553</v>
      </c>
      <c r="D1931" s="6" t="str">
        <f>"周娇慧"</f>
        <v>周娇慧</v>
      </c>
      <c r="E1931" s="6" t="str">
        <f aca="true" t="shared" si="58" ref="E1931:E1941">"女"</f>
        <v>女</v>
      </c>
    </row>
    <row r="1932" spans="1:5" ht="30" customHeight="1">
      <c r="A1932" s="6">
        <v>1930</v>
      </c>
      <c r="B1932" s="6" t="str">
        <f>"299420210525112132105065"</f>
        <v>299420210525112132105065</v>
      </c>
      <c r="C1932" s="6" t="s">
        <v>553</v>
      </c>
      <c r="D1932" s="6" t="str">
        <f>"陈英华"</f>
        <v>陈英华</v>
      </c>
      <c r="E1932" s="6" t="str">
        <f t="shared" si="58"/>
        <v>女</v>
      </c>
    </row>
    <row r="1933" spans="1:5" ht="30" customHeight="1">
      <c r="A1933" s="6">
        <v>1931</v>
      </c>
      <c r="B1933" s="6" t="str">
        <f>"299420210525112427105077"</f>
        <v>299420210525112427105077</v>
      </c>
      <c r="C1933" s="6" t="s">
        <v>553</v>
      </c>
      <c r="D1933" s="6" t="str">
        <f>"张海韵"</f>
        <v>张海韵</v>
      </c>
      <c r="E1933" s="6" t="str">
        <f t="shared" si="58"/>
        <v>女</v>
      </c>
    </row>
    <row r="1934" spans="1:5" ht="30" customHeight="1">
      <c r="A1934" s="6">
        <v>1932</v>
      </c>
      <c r="B1934" s="6" t="str">
        <f>"299420210525113013105102"</f>
        <v>299420210525113013105102</v>
      </c>
      <c r="C1934" s="6" t="s">
        <v>553</v>
      </c>
      <c r="D1934" s="6" t="str">
        <f>"林梦婷"</f>
        <v>林梦婷</v>
      </c>
      <c r="E1934" s="6" t="str">
        <f t="shared" si="58"/>
        <v>女</v>
      </c>
    </row>
    <row r="1935" spans="1:5" ht="30" customHeight="1">
      <c r="A1935" s="6">
        <v>1933</v>
      </c>
      <c r="B1935" s="6" t="str">
        <f>"299420210525113013105103"</f>
        <v>299420210525113013105103</v>
      </c>
      <c r="C1935" s="6" t="s">
        <v>553</v>
      </c>
      <c r="D1935" s="6" t="str">
        <f>"羊妹"</f>
        <v>羊妹</v>
      </c>
      <c r="E1935" s="6" t="str">
        <f t="shared" si="58"/>
        <v>女</v>
      </c>
    </row>
    <row r="1936" spans="1:5" ht="30" customHeight="1">
      <c r="A1936" s="6">
        <v>1934</v>
      </c>
      <c r="B1936" s="6" t="str">
        <f>"299420210525113921105140"</f>
        <v>299420210525113921105140</v>
      </c>
      <c r="C1936" s="6" t="s">
        <v>553</v>
      </c>
      <c r="D1936" s="6" t="str">
        <f>"陈佳宝"</f>
        <v>陈佳宝</v>
      </c>
      <c r="E1936" s="6" t="str">
        <f t="shared" si="58"/>
        <v>女</v>
      </c>
    </row>
    <row r="1937" spans="1:5" ht="30" customHeight="1">
      <c r="A1937" s="6">
        <v>1935</v>
      </c>
      <c r="B1937" s="6" t="str">
        <f>"299420210525114509105162"</f>
        <v>299420210525114509105162</v>
      </c>
      <c r="C1937" s="6" t="s">
        <v>553</v>
      </c>
      <c r="D1937" s="6" t="str">
        <f>"吴琼淑"</f>
        <v>吴琼淑</v>
      </c>
      <c r="E1937" s="6" t="str">
        <f t="shared" si="58"/>
        <v>女</v>
      </c>
    </row>
    <row r="1938" spans="1:5" ht="30" customHeight="1">
      <c r="A1938" s="6">
        <v>1936</v>
      </c>
      <c r="B1938" s="6" t="str">
        <f>"299420210525114641105168"</f>
        <v>299420210525114641105168</v>
      </c>
      <c r="C1938" s="6" t="s">
        <v>553</v>
      </c>
      <c r="D1938" s="6" t="str">
        <f>"邓贤雁"</f>
        <v>邓贤雁</v>
      </c>
      <c r="E1938" s="6" t="str">
        <f t="shared" si="58"/>
        <v>女</v>
      </c>
    </row>
    <row r="1939" spans="1:5" ht="30" customHeight="1">
      <c r="A1939" s="6">
        <v>1937</v>
      </c>
      <c r="B1939" s="6" t="str">
        <f>"299420210525114816105176"</f>
        <v>299420210525114816105176</v>
      </c>
      <c r="C1939" s="6" t="s">
        <v>553</v>
      </c>
      <c r="D1939" s="6" t="str">
        <f>"李小芳"</f>
        <v>李小芳</v>
      </c>
      <c r="E1939" s="6" t="str">
        <f t="shared" si="58"/>
        <v>女</v>
      </c>
    </row>
    <row r="1940" spans="1:5" ht="30" customHeight="1">
      <c r="A1940" s="6">
        <v>1938</v>
      </c>
      <c r="B1940" s="6" t="str">
        <f>"299420210525115415105202"</f>
        <v>299420210525115415105202</v>
      </c>
      <c r="C1940" s="6" t="s">
        <v>553</v>
      </c>
      <c r="D1940" s="6" t="str">
        <f>"冯彩虹"</f>
        <v>冯彩虹</v>
      </c>
      <c r="E1940" s="6" t="str">
        <f t="shared" si="58"/>
        <v>女</v>
      </c>
    </row>
    <row r="1941" spans="1:5" ht="30" customHeight="1">
      <c r="A1941" s="6">
        <v>1939</v>
      </c>
      <c r="B1941" s="6" t="str">
        <f>"299420210525115705105218"</f>
        <v>299420210525115705105218</v>
      </c>
      <c r="C1941" s="6" t="s">
        <v>553</v>
      </c>
      <c r="D1941" s="6" t="str">
        <f>"江乔木"</f>
        <v>江乔木</v>
      </c>
      <c r="E1941" s="6" t="str">
        <f t="shared" si="58"/>
        <v>女</v>
      </c>
    </row>
    <row r="1942" spans="1:5" ht="30" customHeight="1">
      <c r="A1942" s="6">
        <v>1940</v>
      </c>
      <c r="B1942" s="6" t="str">
        <f>"299420210525120012105226"</f>
        <v>299420210525120012105226</v>
      </c>
      <c r="C1942" s="6" t="s">
        <v>553</v>
      </c>
      <c r="D1942" s="6" t="str">
        <f>"袁聪"</f>
        <v>袁聪</v>
      </c>
      <c r="E1942" s="6" t="str">
        <f>"男"</f>
        <v>男</v>
      </c>
    </row>
    <row r="1943" spans="1:5" ht="30" customHeight="1">
      <c r="A1943" s="6">
        <v>1941</v>
      </c>
      <c r="B1943" s="6" t="str">
        <f>"299420210525120101105232"</f>
        <v>299420210525120101105232</v>
      </c>
      <c r="C1943" s="6" t="s">
        <v>553</v>
      </c>
      <c r="D1943" s="6" t="str">
        <f>"胡肖颜"</f>
        <v>胡肖颜</v>
      </c>
      <c r="E1943" s="6" t="str">
        <f aca="true" t="shared" si="59" ref="E1943:E1955">"女"</f>
        <v>女</v>
      </c>
    </row>
    <row r="1944" spans="1:5" ht="30" customHeight="1">
      <c r="A1944" s="6">
        <v>1942</v>
      </c>
      <c r="B1944" s="6" t="str">
        <f>"299420210525120317105241"</f>
        <v>299420210525120317105241</v>
      </c>
      <c r="C1944" s="6" t="s">
        <v>553</v>
      </c>
      <c r="D1944" s="6" t="str">
        <f>"丁珊珊"</f>
        <v>丁珊珊</v>
      </c>
      <c r="E1944" s="6" t="str">
        <f t="shared" si="59"/>
        <v>女</v>
      </c>
    </row>
    <row r="1945" spans="1:5" ht="30" customHeight="1">
      <c r="A1945" s="6">
        <v>1943</v>
      </c>
      <c r="B1945" s="6" t="str">
        <f>"299420210525120711105254"</f>
        <v>299420210525120711105254</v>
      </c>
      <c r="C1945" s="6" t="s">
        <v>553</v>
      </c>
      <c r="D1945" s="6" t="str">
        <f>"吴云"</f>
        <v>吴云</v>
      </c>
      <c r="E1945" s="6" t="str">
        <f t="shared" si="59"/>
        <v>女</v>
      </c>
    </row>
    <row r="1946" spans="1:5" ht="30" customHeight="1">
      <c r="A1946" s="6">
        <v>1944</v>
      </c>
      <c r="B1946" s="6" t="str">
        <f>"299420210525120731105257"</f>
        <v>299420210525120731105257</v>
      </c>
      <c r="C1946" s="6" t="s">
        <v>553</v>
      </c>
      <c r="D1946" s="6" t="str">
        <f>"钟珍波"</f>
        <v>钟珍波</v>
      </c>
      <c r="E1946" s="6" t="str">
        <f t="shared" si="59"/>
        <v>女</v>
      </c>
    </row>
    <row r="1947" spans="1:5" ht="30" customHeight="1">
      <c r="A1947" s="6">
        <v>1945</v>
      </c>
      <c r="B1947" s="6" t="str">
        <f>"299420210525121340105279"</f>
        <v>299420210525121340105279</v>
      </c>
      <c r="C1947" s="6" t="s">
        <v>553</v>
      </c>
      <c r="D1947" s="6" t="str">
        <f>"李紫微"</f>
        <v>李紫微</v>
      </c>
      <c r="E1947" s="6" t="str">
        <f t="shared" si="59"/>
        <v>女</v>
      </c>
    </row>
    <row r="1948" spans="1:5" ht="30" customHeight="1">
      <c r="A1948" s="6">
        <v>1946</v>
      </c>
      <c r="B1948" s="6" t="str">
        <f>"299420210525121515105286"</f>
        <v>299420210525121515105286</v>
      </c>
      <c r="C1948" s="6" t="s">
        <v>553</v>
      </c>
      <c r="D1948" s="6" t="str">
        <f>"李清敏"</f>
        <v>李清敏</v>
      </c>
      <c r="E1948" s="6" t="str">
        <f t="shared" si="59"/>
        <v>女</v>
      </c>
    </row>
    <row r="1949" spans="1:5" ht="30" customHeight="1">
      <c r="A1949" s="6">
        <v>1947</v>
      </c>
      <c r="B1949" s="6" t="str">
        <f>"299420210525121720105295"</f>
        <v>299420210525121720105295</v>
      </c>
      <c r="C1949" s="6" t="s">
        <v>553</v>
      </c>
      <c r="D1949" s="6" t="str">
        <f>"莫艳春"</f>
        <v>莫艳春</v>
      </c>
      <c r="E1949" s="6" t="str">
        <f t="shared" si="59"/>
        <v>女</v>
      </c>
    </row>
    <row r="1950" spans="1:5" ht="30" customHeight="1">
      <c r="A1950" s="6">
        <v>1948</v>
      </c>
      <c r="B1950" s="6" t="str">
        <f>"299420210525122058105302"</f>
        <v>299420210525122058105302</v>
      </c>
      <c r="C1950" s="6" t="s">
        <v>553</v>
      </c>
      <c r="D1950" s="6" t="str">
        <f>"李小梦"</f>
        <v>李小梦</v>
      </c>
      <c r="E1950" s="6" t="str">
        <f t="shared" si="59"/>
        <v>女</v>
      </c>
    </row>
    <row r="1951" spans="1:5" ht="30" customHeight="1">
      <c r="A1951" s="6">
        <v>1949</v>
      </c>
      <c r="B1951" s="6" t="str">
        <f>"299420210525122457105315"</f>
        <v>299420210525122457105315</v>
      </c>
      <c r="C1951" s="6" t="s">
        <v>553</v>
      </c>
      <c r="D1951" s="6" t="str">
        <f>"秦春玉"</f>
        <v>秦春玉</v>
      </c>
      <c r="E1951" s="6" t="str">
        <f t="shared" si="59"/>
        <v>女</v>
      </c>
    </row>
    <row r="1952" spans="1:5" ht="30" customHeight="1">
      <c r="A1952" s="6">
        <v>1950</v>
      </c>
      <c r="B1952" s="6" t="str">
        <f>"299420210525122646105319"</f>
        <v>299420210525122646105319</v>
      </c>
      <c r="C1952" s="6" t="s">
        <v>553</v>
      </c>
      <c r="D1952" s="6" t="str">
        <f>"陈媚洁"</f>
        <v>陈媚洁</v>
      </c>
      <c r="E1952" s="6" t="str">
        <f t="shared" si="59"/>
        <v>女</v>
      </c>
    </row>
    <row r="1953" spans="1:5" ht="30" customHeight="1">
      <c r="A1953" s="6">
        <v>1951</v>
      </c>
      <c r="B1953" s="6" t="str">
        <f>"299420210525123204105341"</f>
        <v>299420210525123204105341</v>
      </c>
      <c r="C1953" s="6" t="s">
        <v>553</v>
      </c>
      <c r="D1953" s="6" t="str">
        <f>"黄吉秋"</f>
        <v>黄吉秋</v>
      </c>
      <c r="E1953" s="6" t="str">
        <f t="shared" si="59"/>
        <v>女</v>
      </c>
    </row>
    <row r="1954" spans="1:5" ht="30" customHeight="1">
      <c r="A1954" s="6">
        <v>1952</v>
      </c>
      <c r="B1954" s="6" t="str">
        <f>"299420210525123520105353"</f>
        <v>299420210525123520105353</v>
      </c>
      <c r="C1954" s="6" t="s">
        <v>553</v>
      </c>
      <c r="D1954" s="6" t="str">
        <f>"王彩云"</f>
        <v>王彩云</v>
      </c>
      <c r="E1954" s="6" t="str">
        <f t="shared" si="59"/>
        <v>女</v>
      </c>
    </row>
    <row r="1955" spans="1:5" ht="30" customHeight="1">
      <c r="A1955" s="6">
        <v>1953</v>
      </c>
      <c r="B1955" s="6" t="str">
        <f>"299420210525124447105390"</f>
        <v>299420210525124447105390</v>
      </c>
      <c r="C1955" s="6" t="s">
        <v>553</v>
      </c>
      <c r="D1955" s="6" t="str">
        <f>"孙水莲"</f>
        <v>孙水莲</v>
      </c>
      <c r="E1955" s="6" t="str">
        <f t="shared" si="59"/>
        <v>女</v>
      </c>
    </row>
    <row r="1956" spans="1:5" ht="30" customHeight="1">
      <c r="A1956" s="6">
        <v>1954</v>
      </c>
      <c r="B1956" s="6" t="str">
        <f>"299420210525124731105405"</f>
        <v>299420210525124731105405</v>
      </c>
      <c r="C1956" s="6" t="s">
        <v>553</v>
      </c>
      <c r="D1956" s="6" t="str">
        <f>"刘灿"</f>
        <v>刘灿</v>
      </c>
      <c r="E1956" s="6" t="str">
        <f>"男"</f>
        <v>男</v>
      </c>
    </row>
    <row r="1957" spans="1:5" ht="30" customHeight="1">
      <c r="A1957" s="6">
        <v>1955</v>
      </c>
      <c r="B1957" s="6" t="str">
        <f>"299420210525125808105434"</f>
        <v>299420210525125808105434</v>
      </c>
      <c r="C1957" s="6" t="s">
        <v>553</v>
      </c>
      <c r="D1957" s="6" t="str">
        <f>"文娇芳"</f>
        <v>文娇芳</v>
      </c>
      <c r="E1957" s="6" t="str">
        <f aca="true" t="shared" si="60" ref="E1957:E1964">"女"</f>
        <v>女</v>
      </c>
    </row>
    <row r="1958" spans="1:5" ht="30" customHeight="1">
      <c r="A1958" s="6">
        <v>1956</v>
      </c>
      <c r="B1958" s="6" t="str">
        <f>"299420210525130037105444"</f>
        <v>299420210525130037105444</v>
      </c>
      <c r="C1958" s="6" t="s">
        <v>553</v>
      </c>
      <c r="D1958" s="6" t="str">
        <f>"陈垂宽"</f>
        <v>陈垂宽</v>
      </c>
      <c r="E1958" s="6" t="str">
        <f t="shared" si="60"/>
        <v>女</v>
      </c>
    </row>
    <row r="1959" spans="1:5" ht="30" customHeight="1">
      <c r="A1959" s="6">
        <v>1957</v>
      </c>
      <c r="B1959" s="6" t="str">
        <f>"299420210525130721105461"</f>
        <v>299420210525130721105461</v>
      </c>
      <c r="C1959" s="6" t="s">
        <v>553</v>
      </c>
      <c r="D1959" s="6" t="str">
        <f>"王娴"</f>
        <v>王娴</v>
      </c>
      <c r="E1959" s="6" t="str">
        <f t="shared" si="60"/>
        <v>女</v>
      </c>
    </row>
    <row r="1960" spans="1:5" ht="30" customHeight="1">
      <c r="A1960" s="6">
        <v>1958</v>
      </c>
      <c r="B1960" s="6" t="str">
        <f>"299420210525131106105469"</f>
        <v>299420210525131106105469</v>
      </c>
      <c r="C1960" s="6" t="s">
        <v>553</v>
      </c>
      <c r="D1960" s="6" t="str">
        <f>"王羽"</f>
        <v>王羽</v>
      </c>
      <c r="E1960" s="6" t="str">
        <f t="shared" si="60"/>
        <v>女</v>
      </c>
    </row>
    <row r="1961" spans="1:5" ht="30" customHeight="1">
      <c r="A1961" s="6">
        <v>1959</v>
      </c>
      <c r="B1961" s="6" t="str">
        <f>"299420210525131337105474"</f>
        <v>299420210525131337105474</v>
      </c>
      <c r="C1961" s="6" t="s">
        <v>553</v>
      </c>
      <c r="D1961" s="6" t="str">
        <f>"陈文丽"</f>
        <v>陈文丽</v>
      </c>
      <c r="E1961" s="6" t="str">
        <f t="shared" si="60"/>
        <v>女</v>
      </c>
    </row>
    <row r="1962" spans="1:5" ht="30" customHeight="1">
      <c r="A1962" s="6">
        <v>1960</v>
      </c>
      <c r="B1962" s="6" t="str">
        <f>"299420210525131858105486"</f>
        <v>299420210525131858105486</v>
      </c>
      <c r="C1962" s="6" t="s">
        <v>553</v>
      </c>
      <c r="D1962" s="6" t="str">
        <f>"赵凤君"</f>
        <v>赵凤君</v>
      </c>
      <c r="E1962" s="6" t="str">
        <f t="shared" si="60"/>
        <v>女</v>
      </c>
    </row>
    <row r="1963" spans="1:5" ht="30" customHeight="1">
      <c r="A1963" s="6">
        <v>1961</v>
      </c>
      <c r="B1963" s="6" t="str">
        <f>"299420210525132848105505"</f>
        <v>299420210525132848105505</v>
      </c>
      <c r="C1963" s="6" t="s">
        <v>553</v>
      </c>
      <c r="D1963" s="6" t="str">
        <f>"袁晶"</f>
        <v>袁晶</v>
      </c>
      <c r="E1963" s="6" t="str">
        <f t="shared" si="60"/>
        <v>女</v>
      </c>
    </row>
    <row r="1964" spans="1:5" ht="30" customHeight="1">
      <c r="A1964" s="6">
        <v>1962</v>
      </c>
      <c r="B1964" s="6" t="str">
        <f>"299420210525135415105542"</f>
        <v>299420210525135415105542</v>
      </c>
      <c r="C1964" s="6" t="s">
        <v>553</v>
      </c>
      <c r="D1964" s="6" t="str">
        <f>"王书美"</f>
        <v>王书美</v>
      </c>
      <c r="E1964" s="6" t="str">
        <f t="shared" si="60"/>
        <v>女</v>
      </c>
    </row>
    <row r="1965" spans="1:5" ht="30" customHeight="1">
      <c r="A1965" s="6">
        <v>1963</v>
      </c>
      <c r="B1965" s="6" t="str">
        <f>"299420210525141908105574"</f>
        <v>299420210525141908105574</v>
      </c>
      <c r="C1965" s="6" t="s">
        <v>553</v>
      </c>
      <c r="D1965" s="6" t="str">
        <f>"许环岛"</f>
        <v>许环岛</v>
      </c>
      <c r="E1965" s="6" t="str">
        <f>"男"</f>
        <v>男</v>
      </c>
    </row>
    <row r="1966" spans="1:5" ht="30" customHeight="1">
      <c r="A1966" s="6">
        <v>1964</v>
      </c>
      <c r="B1966" s="6" t="str">
        <f>"299420210525142656105589"</f>
        <v>299420210525142656105589</v>
      </c>
      <c r="C1966" s="6" t="s">
        <v>553</v>
      </c>
      <c r="D1966" s="6" t="str">
        <f>"韩秀玉"</f>
        <v>韩秀玉</v>
      </c>
      <c r="E1966" s="6" t="str">
        <f aca="true" t="shared" si="61" ref="E1966:E1977">"女"</f>
        <v>女</v>
      </c>
    </row>
    <row r="1967" spans="1:5" ht="30" customHeight="1">
      <c r="A1967" s="6">
        <v>1965</v>
      </c>
      <c r="B1967" s="6" t="str">
        <f>"299420210525143446105599"</f>
        <v>299420210525143446105599</v>
      </c>
      <c r="C1967" s="6" t="s">
        <v>553</v>
      </c>
      <c r="D1967" s="6" t="str">
        <f>"康慧琳"</f>
        <v>康慧琳</v>
      </c>
      <c r="E1967" s="6" t="str">
        <f t="shared" si="61"/>
        <v>女</v>
      </c>
    </row>
    <row r="1968" spans="1:5" ht="30" customHeight="1">
      <c r="A1968" s="6">
        <v>1966</v>
      </c>
      <c r="B1968" s="6" t="str">
        <f>"299420210525143854105606"</f>
        <v>299420210525143854105606</v>
      </c>
      <c r="C1968" s="6" t="s">
        <v>553</v>
      </c>
      <c r="D1968" s="6" t="str">
        <f>"梁小叶"</f>
        <v>梁小叶</v>
      </c>
      <c r="E1968" s="6" t="str">
        <f t="shared" si="61"/>
        <v>女</v>
      </c>
    </row>
    <row r="1969" spans="1:5" ht="30" customHeight="1">
      <c r="A1969" s="6">
        <v>1967</v>
      </c>
      <c r="B1969" s="6" t="str">
        <f>"299420210525144532105619"</f>
        <v>299420210525144532105619</v>
      </c>
      <c r="C1969" s="6" t="s">
        <v>553</v>
      </c>
      <c r="D1969" s="6" t="str">
        <f>"宋振丹"</f>
        <v>宋振丹</v>
      </c>
      <c r="E1969" s="6" t="str">
        <f t="shared" si="61"/>
        <v>女</v>
      </c>
    </row>
    <row r="1970" spans="1:5" ht="30" customHeight="1">
      <c r="A1970" s="6">
        <v>1968</v>
      </c>
      <c r="B1970" s="6" t="str">
        <f>"299420210525145032105633"</f>
        <v>299420210525145032105633</v>
      </c>
      <c r="C1970" s="6" t="s">
        <v>553</v>
      </c>
      <c r="D1970" s="6" t="str">
        <f>"王菊影"</f>
        <v>王菊影</v>
      </c>
      <c r="E1970" s="6" t="str">
        <f t="shared" si="61"/>
        <v>女</v>
      </c>
    </row>
    <row r="1971" spans="1:5" ht="30" customHeight="1">
      <c r="A1971" s="6">
        <v>1969</v>
      </c>
      <c r="B1971" s="6" t="str">
        <f>"299420210525145301105637"</f>
        <v>299420210525145301105637</v>
      </c>
      <c r="C1971" s="6" t="s">
        <v>553</v>
      </c>
      <c r="D1971" s="6" t="str">
        <f>"林丽娜"</f>
        <v>林丽娜</v>
      </c>
      <c r="E1971" s="6" t="str">
        <f t="shared" si="61"/>
        <v>女</v>
      </c>
    </row>
    <row r="1972" spans="1:5" ht="30" customHeight="1">
      <c r="A1972" s="6">
        <v>1970</v>
      </c>
      <c r="B1972" s="6" t="str">
        <f>"299420210525145534105642"</f>
        <v>299420210525145534105642</v>
      </c>
      <c r="C1972" s="6" t="s">
        <v>553</v>
      </c>
      <c r="D1972" s="6" t="str">
        <f>"王英云"</f>
        <v>王英云</v>
      </c>
      <c r="E1972" s="6" t="str">
        <f t="shared" si="61"/>
        <v>女</v>
      </c>
    </row>
    <row r="1973" spans="1:5" ht="30" customHeight="1">
      <c r="A1973" s="6">
        <v>1971</v>
      </c>
      <c r="B1973" s="6" t="str">
        <f>"299420210525145650105647"</f>
        <v>299420210525145650105647</v>
      </c>
      <c r="C1973" s="6" t="s">
        <v>553</v>
      </c>
      <c r="D1973" s="6" t="str">
        <f>"黄洁"</f>
        <v>黄洁</v>
      </c>
      <c r="E1973" s="6" t="str">
        <f t="shared" si="61"/>
        <v>女</v>
      </c>
    </row>
    <row r="1974" spans="1:5" ht="30" customHeight="1">
      <c r="A1974" s="6">
        <v>1972</v>
      </c>
      <c r="B1974" s="6" t="str">
        <f>"299420210525150317105661"</f>
        <v>299420210525150317105661</v>
      </c>
      <c r="C1974" s="6" t="s">
        <v>553</v>
      </c>
      <c r="D1974" s="6" t="str">
        <f>"许婷婷"</f>
        <v>许婷婷</v>
      </c>
      <c r="E1974" s="6" t="str">
        <f t="shared" si="61"/>
        <v>女</v>
      </c>
    </row>
    <row r="1975" spans="1:5" ht="30" customHeight="1">
      <c r="A1975" s="6">
        <v>1973</v>
      </c>
      <c r="B1975" s="6" t="str">
        <f>"299420210525150428105666"</f>
        <v>299420210525150428105666</v>
      </c>
      <c r="C1975" s="6" t="s">
        <v>553</v>
      </c>
      <c r="D1975" s="6" t="str">
        <f>"吴金惠"</f>
        <v>吴金惠</v>
      </c>
      <c r="E1975" s="6" t="str">
        <f t="shared" si="61"/>
        <v>女</v>
      </c>
    </row>
    <row r="1976" spans="1:5" ht="30" customHeight="1">
      <c r="A1976" s="6">
        <v>1974</v>
      </c>
      <c r="B1976" s="6" t="str">
        <f>"299420210525151020105681"</f>
        <v>299420210525151020105681</v>
      </c>
      <c r="C1976" s="6" t="s">
        <v>553</v>
      </c>
      <c r="D1976" s="6" t="str">
        <f>"杨虹"</f>
        <v>杨虹</v>
      </c>
      <c r="E1976" s="6" t="str">
        <f t="shared" si="61"/>
        <v>女</v>
      </c>
    </row>
    <row r="1977" spans="1:5" ht="30" customHeight="1">
      <c r="A1977" s="6">
        <v>1975</v>
      </c>
      <c r="B1977" s="6" t="str">
        <f>"299420210525151049105683"</f>
        <v>299420210525151049105683</v>
      </c>
      <c r="C1977" s="6" t="s">
        <v>553</v>
      </c>
      <c r="D1977" s="6" t="str">
        <f>"余文莹"</f>
        <v>余文莹</v>
      </c>
      <c r="E1977" s="6" t="str">
        <f t="shared" si="61"/>
        <v>女</v>
      </c>
    </row>
    <row r="1978" spans="1:5" ht="30" customHeight="1">
      <c r="A1978" s="6">
        <v>1976</v>
      </c>
      <c r="B1978" s="6" t="str">
        <f>"299420210525151150105688"</f>
        <v>299420210525151150105688</v>
      </c>
      <c r="C1978" s="6" t="s">
        <v>553</v>
      </c>
      <c r="D1978" s="6" t="str">
        <f>"谭金华"</f>
        <v>谭金华</v>
      </c>
      <c r="E1978" s="6" t="str">
        <f>"男"</f>
        <v>男</v>
      </c>
    </row>
    <row r="1979" spans="1:5" ht="30" customHeight="1">
      <c r="A1979" s="6">
        <v>1977</v>
      </c>
      <c r="B1979" s="6" t="str">
        <f>"299420210525151218105689"</f>
        <v>299420210525151218105689</v>
      </c>
      <c r="C1979" s="6" t="s">
        <v>553</v>
      </c>
      <c r="D1979" s="6" t="str">
        <f>"黄姗姗"</f>
        <v>黄姗姗</v>
      </c>
      <c r="E1979" s="6" t="str">
        <f aca="true" t="shared" si="62" ref="E1979:E1994">"女"</f>
        <v>女</v>
      </c>
    </row>
    <row r="1980" spans="1:5" ht="30" customHeight="1">
      <c r="A1980" s="6">
        <v>1978</v>
      </c>
      <c r="B1980" s="6" t="str">
        <f>"299420210525151255105691"</f>
        <v>299420210525151255105691</v>
      </c>
      <c r="C1980" s="6" t="s">
        <v>553</v>
      </c>
      <c r="D1980" s="6" t="str">
        <f>"梁丽云"</f>
        <v>梁丽云</v>
      </c>
      <c r="E1980" s="6" t="str">
        <f t="shared" si="62"/>
        <v>女</v>
      </c>
    </row>
    <row r="1981" spans="1:5" ht="30" customHeight="1">
      <c r="A1981" s="6">
        <v>1979</v>
      </c>
      <c r="B1981" s="6" t="str">
        <f>"299420210525151745105704"</f>
        <v>299420210525151745105704</v>
      </c>
      <c r="C1981" s="6" t="s">
        <v>553</v>
      </c>
      <c r="D1981" s="6" t="str">
        <f>"梁丹"</f>
        <v>梁丹</v>
      </c>
      <c r="E1981" s="6" t="str">
        <f t="shared" si="62"/>
        <v>女</v>
      </c>
    </row>
    <row r="1982" spans="1:5" ht="30" customHeight="1">
      <c r="A1982" s="6">
        <v>1980</v>
      </c>
      <c r="B1982" s="6" t="str">
        <f>"299420210525152141105717"</f>
        <v>299420210525152141105717</v>
      </c>
      <c r="C1982" s="6" t="s">
        <v>553</v>
      </c>
      <c r="D1982" s="6" t="str">
        <f>"许秋香"</f>
        <v>许秋香</v>
      </c>
      <c r="E1982" s="6" t="str">
        <f t="shared" si="62"/>
        <v>女</v>
      </c>
    </row>
    <row r="1983" spans="1:5" ht="30" customHeight="1">
      <c r="A1983" s="6">
        <v>1981</v>
      </c>
      <c r="B1983" s="6" t="str">
        <f>"299420210525152409105728"</f>
        <v>299420210525152409105728</v>
      </c>
      <c r="C1983" s="6" t="s">
        <v>553</v>
      </c>
      <c r="D1983" s="6" t="str">
        <f>"陈鸿妹 "</f>
        <v>陈鸿妹 </v>
      </c>
      <c r="E1983" s="6" t="str">
        <f t="shared" si="62"/>
        <v>女</v>
      </c>
    </row>
    <row r="1984" spans="1:5" ht="30" customHeight="1">
      <c r="A1984" s="6">
        <v>1982</v>
      </c>
      <c r="B1984" s="6" t="str">
        <f>"299420210525152410105729"</f>
        <v>299420210525152410105729</v>
      </c>
      <c r="C1984" s="6" t="s">
        <v>553</v>
      </c>
      <c r="D1984" s="6" t="str">
        <f>"阮琼霞"</f>
        <v>阮琼霞</v>
      </c>
      <c r="E1984" s="6" t="str">
        <f t="shared" si="62"/>
        <v>女</v>
      </c>
    </row>
    <row r="1985" spans="1:5" ht="30" customHeight="1">
      <c r="A1985" s="6">
        <v>1983</v>
      </c>
      <c r="B1985" s="6" t="str">
        <f>"299420210525153117105751"</f>
        <v>299420210525153117105751</v>
      </c>
      <c r="C1985" s="6" t="s">
        <v>553</v>
      </c>
      <c r="D1985" s="6" t="str">
        <f>"麦苗"</f>
        <v>麦苗</v>
      </c>
      <c r="E1985" s="6" t="str">
        <f t="shared" si="62"/>
        <v>女</v>
      </c>
    </row>
    <row r="1986" spans="1:5" ht="30" customHeight="1">
      <c r="A1986" s="6">
        <v>1984</v>
      </c>
      <c r="B1986" s="6" t="str">
        <f>"299420210525153237105755"</f>
        <v>299420210525153237105755</v>
      </c>
      <c r="C1986" s="6" t="s">
        <v>553</v>
      </c>
      <c r="D1986" s="6" t="str">
        <f>"黄慧"</f>
        <v>黄慧</v>
      </c>
      <c r="E1986" s="6" t="str">
        <f t="shared" si="62"/>
        <v>女</v>
      </c>
    </row>
    <row r="1987" spans="1:5" ht="30" customHeight="1">
      <c r="A1987" s="6">
        <v>1985</v>
      </c>
      <c r="B1987" s="6" t="str">
        <f>"299420210525153331105759"</f>
        <v>299420210525153331105759</v>
      </c>
      <c r="C1987" s="6" t="s">
        <v>553</v>
      </c>
      <c r="D1987" s="6" t="str">
        <f>"谢灵英"</f>
        <v>谢灵英</v>
      </c>
      <c r="E1987" s="6" t="str">
        <f t="shared" si="62"/>
        <v>女</v>
      </c>
    </row>
    <row r="1988" spans="1:5" ht="30" customHeight="1">
      <c r="A1988" s="6">
        <v>1986</v>
      </c>
      <c r="B1988" s="6" t="str">
        <f>"299420210525154251105794"</f>
        <v>299420210525154251105794</v>
      </c>
      <c r="C1988" s="6" t="s">
        <v>553</v>
      </c>
      <c r="D1988" s="6" t="str">
        <f>"王瑜"</f>
        <v>王瑜</v>
      </c>
      <c r="E1988" s="6" t="str">
        <f t="shared" si="62"/>
        <v>女</v>
      </c>
    </row>
    <row r="1989" spans="1:5" ht="30" customHeight="1">
      <c r="A1989" s="6">
        <v>1987</v>
      </c>
      <c r="B1989" s="6" t="str">
        <f>"299420210525154524105800"</f>
        <v>299420210525154524105800</v>
      </c>
      <c r="C1989" s="6" t="s">
        <v>553</v>
      </c>
      <c r="D1989" s="6" t="str">
        <f>"杨翠漫"</f>
        <v>杨翠漫</v>
      </c>
      <c r="E1989" s="6" t="str">
        <f t="shared" si="62"/>
        <v>女</v>
      </c>
    </row>
    <row r="1990" spans="1:5" ht="30" customHeight="1">
      <c r="A1990" s="6">
        <v>1988</v>
      </c>
      <c r="B1990" s="6" t="str">
        <f>"299420210525154830105814"</f>
        <v>299420210525154830105814</v>
      </c>
      <c r="C1990" s="6" t="s">
        <v>553</v>
      </c>
      <c r="D1990" s="6" t="str">
        <f>"符玉媚"</f>
        <v>符玉媚</v>
      </c>
      <c r="E1990" s="6" t="str">
        <f t="shared" si="62"/>
        <v>女</v>
      </c>
    </row>
    <row r="1991" spans="1:5" ht="30" customHeight="1">
      <c r="A1991" s="6">
        <v>1989</v>
      </c>
      <c r="B1991" s="6" t="str">
        <f>"299420210525155054105824"</f>
        <v>299420210525155054105824</v>
      </c>
      <c r="C1991" s="6" t="s">
        <v>553</v>
      </c>
      <c r="D1991" s="6" t="str">
        <f>"何梅霞"</f>
        <v>何梅霞</v>
      </c>
      <c r="E1991" s="6" t="str">
        <f t="shared" si="62"/>
        <v>女</v>
      </c>
    </row>
    <row r="1992" spans="1:5" ht="30" customHeight="1">
      <c r="A1992" s="6">
        <v>1990</v>
      </c>
      <c r="B1992" s="6" t="str">
        <f>"299420210525160351105858"</f>
        <v>299420210525160351105858</v>
      </c>
      <c r="C1992" s="6" t="s">
        <v>553</v>
      </c>
      <c r="D1992" s="6" t="str">
        <f>"邹正萍"</f>
        <v>邹正萍</v>
      </c>
      <c r="E1992" s="6" t="str">
        <f t="shared" si="62"/>
        <v>女</v>
      </c>
    </row>
    <row r="1993" spans="1:5" ht="30" customHeight="1">
      <c r="A1993" s="6">
        <v>1991</v>
      </c>
      <c r="B1993" s="6" t="str">
        <f>"299420210525160733105868"</f>
        <v>299420210525160733105868</v>
      </c>
      <c r="C1993" s="6" t="s">
        <v>553</v>
      </c>
      <c r="D1993" s="6" t="str">
        <f>"刘思宇"</f>
        <v>刘思宇</v>
      </c>
      <c r="E1993" s="6" t="str">
        <f t="shared" si="62"/>
        <v>女</v>
      </c>
    </row>
    <row r="1994" spans="1:5" ht="30" customHeight="1">
      <c r="A1994" s="6">
        <v>1992</v>
      </c>
      <c r="B1994" s="6" t="str">
        <f>"299420210525160904105875"</f>
        <v>299420210525160904105875</v>
      </c>
      <c r="C1994" s="6" t="s">
        <v>553</v>
      </c>
      <c r="D1994" s="6" t="str">
        <f>"周园"</f>
        <v>周园</v>
      </c>
      <c r="E1994" s="6" t="str">
        <f t="shared" si="62"/>
        <v>女</v>
      </c>
    </row>
    <row r="1995" spans="1:5" ht="30" customHeight="1">
      <c r="A1995" s="6">
        <v>1993</v>
      </c>
      <c r="B1995" s="6" t="str">
        <f>"299420210525160952105880"</f>
        <v>299420210525160952105880</v>
      </c>
      <c r="C1995" s="6" t="s">
        <v>553</v>
      </c>
      <c r="D1995" s="6" t="str">
        <f>"周才裕"</f>
        <v>周才裕</v>
      </c>
      <c r="E1995" s="6" t="str">
        <f>"男"</f>
        <v>男</v>
      </c>
    </row>
    <row r="1996" spans="1:5" ht="30" customHeight="1">
      <c r="A1996" s="6">
        <v>1994</v>
      </c>
      <c r="B1996" s="6" t="str">
        <f>"299420210525161007105881"</f>
        <v>299420210525161007105881</v>
      </c>
      <c r="C1996" s="6" t="s">
        <v>553</v>
      </c>
      <c r="D1996" s="6" t="str">
        <f>"林敏"</f>
        <v>林敏</v>
      </c>
      <c r="E1996" s="6" t="str">
        <f>"女"</f>
        <v>女</v>
      </c>
    </row>
    <row r="1997" spans="1:5" ht="30" customHeight="1">
      <c r="A1997" s="6">
        <v>1995</v>
      </c>
      <c r="B1997" s="6" t="str">
        <f>"299420210525161247105885"</f>
        <v>299420210525161247105885</v>
      </c>
      <c r="C1997" s="6" t="s">
        <v>553</v>
      </c>
      <c r="D1997" s="6" t="str">
        <f>"陈芝"</f>
        <v>陈芝</v>
      </c>
      <c r="E1997" s="6" t="str">
        <f>"女"</f>
        <v>女</v>
      </c>
    </row>
    <row r="1998" spans="1:5" ht="30" customHeight="1">
      <c r="A1998" s="6">
        <v>1996</v>
      </c>
      <c r="B1998" s="6" t="str">
        <f>"299420210525161308105886"</f>
        <v>299420210525161308105886</v>
      </c>
      <c r="C1998" s="6" t="s">
        <v>553</v>
      </c>
      <c r="D1998" s="6" t="str">
        <f>"陈觉"</f>
        <v>陈觉</v>
      </c>
      <c r="E1998" s="6" t="str">
        <f>"男"</f>
        <v>男</v>
      </c>
    </row>
    <row r="1999" spans="1:5" ht="30" customHeight="1">
      <c r="A1999" s="6">
        <v>1997</v>
      </c>
      <c r="B1999" s="6" t="str">
        <f>"299420210525161356105889"</f>
        <v>299420210525161356105889</v>
      </c>
      <c r="C1999" s="6" t="s">
        <v>553</v>
      </c>
      <c r="D1999" s="6" t="str">
        <f>"林丹凤"</f>
        <v>林丹凤</v>
      </c>
      <c r="E1999" s="6" t="str">
        <f>"女"</f>
        <v>女</v>
      </c>
    </row>
    <row r="2000" spans="1:5" ht="30" customHeight="1">
      <c r="A2000" s="6">
        <v>1998</v>
      </c>
      <c r="B2000" s="6" t="str">
        <f>"299420210525161646105897"</f>
        <v>299420210525161646105897</v>
      </c>
      <c r="C2000" s="6" t="s">
        <v>553</v>
      </c>
      <c r="D2000" s="6" t="str">
        <f>"洪宁"</f>
        <v>洪宁</v>
      </c>
      <c r="E2000" s="6" t="str">
        <f>"女"</f>
        <v>女</v>
      </c>
    </row>
    <row r="2001" spans="1:5" ht="30" customHeight="1">
      <c r="A2001" s="6">
        <v>1999</v>
      </c>
      <c r="B2001" s="6" t="str">
        <f>"299420210525161718105900"</f>
        <v>299420210525161718105900</v>
      </c>
      <c r="C2001" s="6" t="s">
        <v>553</v>
      </c>
      <c r="D2001" s="6" t="str">
        <f>"王玲"</f>
        <v>王玲</v>
      </c>
      <c r="E2001" s="6" t="str">
        <f>"女"</f>
        <v>女</v>
      </c>
    </row>
    <row r="2002" spans="1:5" ht="30" customHeight="1">
      <c r="A2002" s="6">
        <v>2000</v>
      </c>
      <c r="B2002" s="6" t="str">
        <f>"299420210525162004105906"</f>
        <v>299420210525162004105906</v>
      </c>
      <c r="C2002" s="6" t="s">
        <v>553</v>
      </c>
      <c r="D2002" s="6" t="str">
        <f>"林秋杏"</f>
        <v>林秋杏</v>
      </c>
      <c r="E2002" s="6" t="str">
        <f>"女"</f>
        <v>女</v>
      </c>
    </row>
    <row r="2003" spans="1:5" ht="30" customHeight="1">
      <c r="A2003" s="6">
        <v>2001</v>
      </c>
      <c r="B2003" s="6" t="str">
        <f>"299420210525162024105907"</f>
        <v>299420210525162024105907</v>
      </c>
      <c r="C2003" s="6" t="s">
        <v>553</v>
      </c>
      <c r="D2003" s="6" t="str">
        <f>"陈宏莲"</f>
        <v>陈宏莲</v>
      </c>
      <c r="E2003" s="6" t="str">
        <f>"女"</f>
        <v>女</v>
      </c>
    </row>
    <row r="2004" spans="1:5" ht="30" customHeight="1">
      <c r="A2004" s="6">
        <v>2002</v>
      </c>
      <c r="B2004" s="6" t="str">
        <f>"299420210525162414105916"</f>
        <v>299420210525162414105916</v>
      </c>
      <c r="C2004" s="6" t="s">
        <v>553</v>
      </c>
      <c r="D2004" s="6" t="str">
        <f>"夏治勇"</f>
        <v>夏治勇</v>
      </c>
      <c r="E2004" s="6" t="str">
        <f>"男"</f>
        <v>男</v>
      </c>
    </row>
    <row r="2005" spans="1:5" ht="30" customHeight="1">
      <c r="A2005" s="6">
        <v>2003</v>
      </c>
      <c r="B2005" s="6" t="str">
        <f>"299420210525162856105924"</f>
        <v>299420210525162856105924</v>
      </c>
      <c r="C2005" s="6" t="s">
        <v>553</v>
      </c>
      <c r="D2005" s="6" t="str">
        <f>"王丽娟"</f>
        <v>王丽娟</v>
      </c>
      <c r="E2005" s="6" t="str">
        <f aca="true" t="shared" si="63" ref="E2005:E2018">"女"</f>
        <v>女</v>
      </c>
    </row>
    <row r="2006" spans="1:5" ht="30" customHeight="1">
      <c r="A2006" s="6">
        <v>2004</v>
      </c>
      <c r="B2006" s="6" t="str">
        <f>"299420210525163139105930"</f>
        <v>299420210525163139105930</v>
      </c>
      <c r="C2006" s="6" t="s">
        <v>553</v>
      </c>
      <c r="D2006" s="6" t="str">
        <f>"吴陈君"</f>
        <v>吴陈君</v>
      </c>
      <c r="E2006" s="6" t="str">
        <f t="shared" si="63"/>
        <v>女</v>
      </c>
    </row>
    <row r="2007" spans="1:5" ht="30" customHeight="1">
      <c r="A2007" s="6">
        <v>2005</v>
      </c>
      <c r="B2007" s="6" t="str">
        <f>"299420210525163156105932"</f>
        <v>299420210525163156105932</v>
      </c>
      <c r="C2007" s="6" t="s">
        <v>553</v>
      </c>
      <c r="D2007" s="6" t="str">
        <f>"吴春萍"</f>
        <v>吴春萍</v>
      </c>
      <c r="E2007" s="6" t="str">
        <f t="shared" si="63"/>
        <v>女</v>
      </c>
    </row>
    <row r="2008" spans="1:5" ht="30" customHeight="1">
      <c r="A2008" s="6">
        <v>2006</v>
      </c>
      <c r="B2008" s="6" t="str">
        <f>"299420210525163207105933"</f>
        <v>299420210525163207105933</v>
      </c>
      <c r="C2008" s="6" t="s">
        <v>553</v>
      </c>
      <c r="D2008" s="6" t="str">
        <f>"林绿"</f>
        <v>林绿</v>
      </c>
      <c r="E2008" s="6" t="str">
        <f t="shared" si="63"/>
        <v>女</v>
      </c>
    </row>
    <row r="2009" spans="1:5" ht="30" customHeight="1">
      <c r="A2009" s="6">
        <v>2007</v>
      </c>
      <c r="B2009" s="6" t="str">
        <f>"299420210525163255105935"</f>
        <v>299420210525163255105935</v>
      </c>
      <c r="C2009" s="6" t="s">
        <v>553</v>
      </c>
      <c r="D2009" s="6" t="str">
        <f>"陈秋妹"</f>
        <v>陈秋妹</v>
      </c>
      <c r="E2009" s="6" t="str">
        <f t="shared" si="63"/>
        <v>女</v>
      </c>
    </row>
    <row r="2010" spans="1:5" ht="30" customHeight="1">
      <c r="A2010" s="6">
        <v>2008</v>
      </c>
      <c r="B2010" s="6" t="str">
        <f>"299420210525163322105939"</f>
        <v>299420210525163322105939</v>
      </c>
      <c r="C2010" s="6" t="s">
        <v>553</v>
      </c>
      <c r="D2010" s="6" t="str">
        <f>"王伟"</f>
        <v>王伟</v>
      </c>
      <c r="E2010" s="6" t="str">
        <f t="shared" si="63"/>
        <v>女</v>
      </c>
    </row>
    <row r="2011" spans="1:5" ht="30" customHeight="1">
      <c r="A2011" s="6">
        <v>2009</v>
      </c>
      <c r="B2011" s="6" t="str">
        <f>"299420210525163435105944"</f>
        <v>299420210525163435105944</v>
      </c>
      <c r="C2011" s="6" t="s">
        <v>553</v>
      </c>
      <c r="D2011" s="6" t="str">
        <f>"杨秀坤"</f>
        <v>杨秀坤</v>
      </c>
      <c r="E2011" s="6" t="str">
        <f t="shared" si="63"/>
        <v>女</v>
      </c>
    </row>
    <row r="2012" spans="1:5" ht="30" customHeight="1">
      <c r="A2012" s="6">
        <v>2010</v>
      </c>
      <c r="B2012" s="6" t="str">
        <f>"299420210525163859105960"</f>
        <v>299420210525163859105960</v>
      </c>
      <c r="C2012" s="6" t="s">
        <v>553</v>
      </c>
      <c r="D2012" s="6" t="str">
        <f>"符万方"</f>
        <v>符万方</v>
      </c>
      <c r="E2012" s="6" t="str">
        <f t="shared" si="63"/>
        <v>女</v>
      </c>
    </row>
    <row r="2013" spans="1:5" ht="30" customHeight="1">
      <c r="A2013" s="6">
        <v>2011</v>
      </c>
      <c r="B2013" s="6" t="str">
        <f>"299420210525165234105996"</f>
        <v>299420210525165234105996</v>
      </c>
      <c r="C2013" s="6" t="s">
        <v>553</v>
      </c>
      <c r="D2013" s="6" t="str">
        <f>"许环媛"</f>
        <v>许环媛</v>
      </c>
      <c r="E2013" s="6" t="str">
        <f t="shared" si="63"/>
        <v>女</v>
      </c>
    </row>
    <row r="2014" spans="1:5" ht="30" customHeight="1">
      <c r="A2014" s="6">
        <v>2012</v>
      </c>
      <c r="B2014" s="6" t="str">
        <f>"299420210525165659106005"</f>
        <v>299420210525165659106005</v>
      </c>
      <c r="C2014" s="6" t="s">
        <v>553</v>
      </c>
      <c r="D2014" s="6" t="str">
        <f>"林琦虹"</f>
        <v>林琦虹</v>
      </c>
      <c r="E2014" s="6" t="str">
        <f t="shared" si="63"/>
        <v>女</v>
      </c>
    </row>
    <row r="2015" spans="1:5" ht="30" customHeight="1">
      <c r="A2015" s="6">
        <v>2013</v>
      </c>
      <c r="B2015" s="6" t="str">
        <f>"299420210525170609106028"</f>
        <v>299420210525170609106028</v>
      </c>
      <c r="C2015" s="6" t="s">
        <v>553</v>
      </c>
      <c r="D2015" s="6" t="str">
        <f>"符岐花"</f>
        <v>符岐花</v>
      </c>
      <c r="E2015" s="6" t="str">
        <f t="shared" si="63"/>
        <v>女</v>
      </c>
    </row>
    <row r="2016" spans="1:5" ht="30" customHeight="1">
      <c r="A2016" s="6">
        <v>2014</v>
      </c>
      <c r="B2016" s="6" t="str">
        <f>"299420210525171747106052"</f>
        <v>299420210525171747106052</v>
      </c>
      <c r="C2016" s="6" t="s">
        <v>553</v>
      </c>
      <c r="D2016" s="6" t="str">
        <f>"陈翕菲"</f>
        <v>陈翕菲</v>
      </c>
      <c r="E2016" s="6" t="str">
        <f t="shared" si="63"/>
        <v>女</v>
      </c>
    </row>
    <row r="2017" spans="1:5" ht="30" customHeight="1">
      <c r="A2017" s="6">
        <v>2015</v>
      </c>
      <c r="B2017" s="6" t="str">
        <f>"299420210525171948106054"</f>
        <v>299420210525171948106054</v>
      </c>
      <c r="C2017" s="6" t="s">
        <v>553</v>
      </c>
      <c r="D2017" s="6" t="str">
        <f>"陈教美"</f>
        <v>陈教美</v>
      </c>
      <c r="E2017" s="6" t="str">
        <f t="shared" si="63"/>
        <v>女</v>
      </c>
    </row>
    <row r="2018" spans="1:5" ht="30" customHeight="1">
      <c r="A2018" s="6">
        <v>2016</v>
      </c>
      <c r="B2018" s="6" t="str">
        <f>"299420210525173121106077"</f>
        <v>299420210525173121106077</v>
      </c>
      <c r="C2018" s="6" t="s">
        <v>553</v>
      </c>
      <c r="D2018" s="6" t="str">
        <f>"关义侠"</f>
        <v>关义侠</v>
      </c>
      <c r="E2018" s="6" t="str">
        <f t="shared" si="63"/>
        <v>女</v>
      </c>
    </row>
    <row r="2019" spans="1:5" ht="30" customHeight="1">
      <c r="A2019" s="6">
        <v>2017</v>
      </c>
      <c r="B2019" s="6" t="str">
        <f>"299420210525174206106102"</f>
        <v>299420210525174206106102</v>
      </c>
      <c r="C2019" s="6" t="s">
        <v>553</v>
      </c>
      <c r="D2019" s="6" t="str">
        <f>"洪世军"</f>
        <v>洪世军</v>
      </c>
      <c r="E2019" s="6" t="str">
        <f>"男"</f>
        <v>男</v>
      </c>
    </row>
    <row r="2020" spans="1:5" ht="30" customHeight="1">
      <c r="A2020" s="6">
        <v>2018</v>
      </c>
      <c r="B2020" s="6" t="str">
        <f>"299420210525174604106114"</f>
        <v>299420210525174604106114</v>
      </c>
      <c r="C2020" s="6" t="s">
        <v>553</v>
      </c>
      <c r="D2020" s="6" t="str">
        <f>"陈善佳"</f>
        <v>陈善佳</v>
      </c>
      <c r="E2020" s="6" t="str">
        <f aca="true" t="shared" si="64" ref="E2020:E2033">"女"</f>
        <v>女</v>
      </c>
    </row>
    <row r="2021" spans="1:5" ht="30" customHeight="1">
      <c r="A2021" s="6">
        <v>2019</v>
      </c>
      <c r="B2021" s="6" t="str">
        <f>"299420210525175405106131"</f>
        <v>299420210525175405106131</v>
      </c>
      <c r="C2021" s="6" t="s">
        <v>553</v>
      </c>
      <c r="D2021" s="6" t="str">
        <f>"郑月敏"</f>
        <v>郑月敏</v>
      </c>
      <c r="E2021" s="6" t="str">
        <f t="shared" si="64"/>
        <v>女</v>
      </c>
    </row>
    <row r="2022" spans="1:5" ht="30" customHeight="1">
      <c r="A2022" s="6">
        <v>2020</v>
      </c>
      <c r="B2022" s="6" t="str">
        <f>"299420210525175616106134"</f>
        <v>299420210525175616106134</v>
      </c>
      <c r="C2022" s="6" t="s">
        <v>553</v>
      </c>
      <c r="D2022" s="6" t="str">
        <f>"林媛媛"</f>
        <v>林媛媛</v>
      </c>
      <c r="E2022" s="6" t="str">
        <f t="shared" si="64"/>
        <v>女</v>
      </c>
    </row>
    <row r="2023" spans="1:5" ht="30" customHeight="1">
      <c r="A2023" s="6">
        <v>2021</v>
      </c>
      <c r="B2023" s="6" t="str">
        <f>"299420210525180010106144"</f>
        <v>299420210525180010106144</v>
      </c>
      <c r="C2023" s="6" t="s">
        <v>553</v>
      </c>
      <c r="D2023" s="6" t="str">
        <f>"李秀波"</f>
        <v>李秀波</v>
      </c>
      <c r="E2023" s="6" t="str">
        <f t="shared" si="64"/>
        <v>女</v>
      </c>
    </row>
    <row r="2024" spans="1:5" ht="30" customHeight="1">
      <c r="A2024" s="6">
        <v>2022</v>
      </c>
      <c r="B2024" s="6" t="str">
        <f>"299420210525180723106164"</f>
        <v>299420210525180723106164</v>
      </c>
      <c r="C2024" s="6" t="s">
        <v>553</v>
      </c>
      <c r="D2024" s="6" t="str">
        <f>"吴王梅"</f>
        <v>吴王梅</v>
      </c>
      <c r="E2024" s="6" t="str">
        <f t="shared" si="64"/>
        <v>女</v>
      </c>
    </row>
    <row r="2025" spans="1:5" ht="30" customHeight="1">
      <c r="A2025" s="6">
        <v>2023</v>
      </c>
      <c r="B2025" s="6" t="str">
        <f>"299420210525180824106166"</f>
        <v>299420210525180824106166</v>
      </c>
      <c r="C2025" s="6" t="s">
        <v>553</v>
      </c>
      <c r="D2025" s="6" t="str">
        <f>"郭青柳"</f>
        <v>郭青柳</v>
      </c>
      <c r="E2025" s="6" t="str">
        <f t="shared" si="64"/>
        <v>女</v>
      </c>
    </row>
    <row r="2026" spans="1:5" ht="30" customHeight="1">
      <c r="A2026" s="6">
        <v>2024</v>
      </c>
      <c r="B2026" s="6" t="str">
        <f>"299420210525181405106174"</f>
        <v>299420210525181405106174</v>
      </c>
      <c r="C2026" s="6" t="s">
        <v>553</v>
      </c>
      <c r="D2026" s="6" t="str">
        <f>"梁秀美"</f>
        <v>梁秀美</v>
      </c>
      <c r="E2026" s="6" t="str">
        <f t="shared" si="64"/>
        <v>女</v>
      </c>
    </row>
    <row r="2027" spans="1:5" ht="30" customHeight="1">
      <c r="A2027" s="6">
        <v>2025</v>
      </c>
      <c r="B2027" s="6" t="str">
        <f>"299420210525181528106176"</f>
        <v>299420210525181528106176</v>
      </c>
      <c r="C2027" s="6" t="s">
        <v>553</v>
      </c>
      <c r="D2027" s="6" t="str">
        <f>"王丽蓓"</f>
        <v>王丽蓓</v>
      </c>
      <c r="E2027" s="6" t="str">
        <f t="shared" si="64"/>
        <v>女</v>
      </c>
    </row>
    <row r="2028" spans="1:5" ht="30" customHeight="1">
      <c r="A2028" s="6">
        <v>2026</v>
      </c>
      <c r="B2028" s="6" t="str">
        <f>"299420210525181650106180"</f>
        <v>299420210525181650106180</v>
      </c>
      <c r="C2028" s="6" t="s">
        <v>553</v>
      </c>
      <c r="D2028" s="6" t="str">
        <f>"赖金霞"</f>
        <v>赖金霞</v>
      </c>
      <c r="E2028" s="6" t="str">
        <f t="shared" si="64"/>
        <v>女</v>
      </c>
    </row>
    <row r="2029" spans="1:5" ht="30" customHeight="1">
      <c r="A2029" s="6">
        <v>2027</v>
      </c>
      <c r="B2029" s="6" t="str">
        <f>"299420210525182235106195"</f>
        <v>299420210525182235106195</v>
      </c>
      <c r="C2029" s="6" t="s">
        <v>553</v>
      </c>
      <c r="D2029" s="6" t="str">
        <f>"陈秀香"</f>
        <v>陈秀香</v>
      </c>
      <c r="E2029" s="6" t="str">
        <f t="shared" si="64"/>
        <v>女</v>
      </c>
    </row>
    <row r="2030" spans="1:5" ht="30" customHeight="1">
      <c r="A2030" s="6">
        <v>2028</v>
      </c>
      <c r="B2030" s="6" t="str">
        <f>"299420210525183009106212"</f>
        <v>299420210525183009106212</v>
      </c>
      <c r="C2030" s="6" t="s">
        <v>553</v>
      </c>
      <c r="D2030" s="6" t="str">
        <f>"郭倩倩"</f>
        <v>郭倩倩</v>
      </c>
      <c r="E2030" s="6" t="str">
        <f t="shared" si="64"/>
        <v>女</v>
      </c>
    </row>
    <row r="2031" spans="1:5" ht="30" customHeight="1">
      <c r="A2031" s="6">
        <v>2029</v>
      </c>
      <c r="B2031" s="6" t="str">
        <f>"299420210525183437106223"</f>
        <v>299420210525183437106223</v>
      </c>
      <c r="C2031" s="6" t="s">
        <v>553</v>
      </c>
      <c r="D2031" s="6" t="str">
        <f>"陆阳"</f>
        <v>陆阳</v>
      </c>
      <c r="E2031" s="6" t="str">
        <f t="shared" si="64"/>
        <v>女</v>
      </c>
    </row>
    <row r="2032" spans="1:5" ht="30" customHeight="1">
      <c r="A2032" s="6">
        <v>2030</v>
      </c>
      <c r="B2032" s="6" t="str">
        <f>"299420210525183514106225"</f>
        <v>299420210525183514106225</v>
      </c>
      <c r="C2032" s="6" t="s">
        <v>553</v>
      </c>
      <c r="D2032" s="6" t="str">
        <f>"秦凰萍"</f>
        <v>秦凰萍</v>
      </c>
      <c r="E2032" s="6" t="str">
        <f t="shared" si="64"/>
        <v>女</v>
      </c>
    </row>
    <row r="2033" spans="1:5" ht="30" customHeight="1">
      <c r="A2033" s="6">
        <v>2031</v>
      </c>
      <c r="B2033" s="6" t="str">
        <f>"299420210525183831106232"</f>
        <v>299420210525183831106232</v>
      </c>
      <c r="C2033" s="6" t="s">
        <v>553</v>
      </c>
      <c r="D2033" s="6" t="str">
        <f>"王桂香"</f>
        <v>王桂香</v>
      </c>
      <c r="E2033" s="6" t="str">
        <f t="shared" si="64"/>
        <v>女</v>
      </c>
    </row>
    <row r="2034" spans="1:5" ht="30" customHeight="1">
      <c r="A2034" s="6">
        <v>2032</v>
      </c>
      <c r="B2034" s="6" t="str">
        <f>"299420210525184710106252"</f>
        <v>299420210525184710106252</v>
      </c>
      <c r="C2034" s="6" t="s">
        <v>553</v>
      </c>
      <c r="D2034" s="6" t="str">
        <f>"唐南文"</f>
        <v>唐南文</v>
      </c>
      <c r="E2034" s="6" t="str">
        <f>"男"</f>
        <v>男</v>
      </c>
    </row>
    <row r="2035" spans="1:5" ht="30" customHeight="1">
      <c r="A2035" s="6">
        <v>2033</v>
      </c>
      <c r="B2035" s="6" t="str">
        <f>"299420210525184712106253"</f>
        <v>299420210525184712106253</v>
      </c>
      <c r="C2035" s="6" t="s">
        <v>553</v>
      </c>
      <c r="D2035" s="6" t="str">
        <f>"刘娜英"</f>
        <v>刘娜英</v>
      </c>
      <c r="E2035" s="6" t="str">
        <f aca="true" t="shared" si="65" ref="E2035:E2041">"女"</f>
        <v>女</v>
      </c>
    </row>
    <row r="2036" spans="1:5" ht="30" customHeight="1">
      <c r="A2036" s="6">
        <v>2034</v>
      </c>
      <c r="B2036" s="6" t="str">
        <f>"299420210525185949106277"</f>
        <v>299420210525185949106277</v>
      </c>
      <c r="C2036" s="6" t="s">
        <v>553</v>
      </c>
      <c r="D2036" s="6" t="str">
        <f>"洪小桃"</f>
        <v>洪小桃</v>
      </c>
      <c r="E2036" s="6" t="str">
        <f t="shared" si="65"/>
        <v>女</v>
      </c>
    </row>
    <row r="2037" spans="1:5" ht="30" customHeight="1">
      <c r="A2037" s="6">
        <v>2035</v>
      </c>
      <c r="B2037" s="6" t="str">
        <f>"299420210525190000106279"</f>
        <v>299420210525190000106279</v>
      </c>
      <c r="C2037" s="6" t="s">
        <v>553</v>
      </c>
      <c r="D2037" s="6" t="str">
        <f>"陈艺灵"</f>
        <v>陈艺灵</v>
      </c>
      <c r="E2037" s="6" t="str">
        <f t="shared" si="65"/>
        <v>女</v>
      </c>
    </row>
    <row r="2038" spans="1:5" ht="30" customHeight="1">
      <c r="A2038" s="6">
        <v>2036</v>
      </c>
      <c r="B2038" s="6" t="str">
        <f>"299420210525190740106295"</f>
        <v>299420210525190740106295</v>
      </c>
      <c r="C2038" s="6" t="s">
        <v>553</v>
      </c>
      <c r="D2038" s="6" t="str">
        <f>"王青梅"</f>
        <v>王青梅</v>
      </c>
      <c r="E2038" s="6" t="str">
        <f t="shared" si="65"/>
        <v>女</v>
      </c>
    </row>
    <row r="2039" spans="1:5" ht="30" customHeight="1">
      <c r="A2039" s="6">
        <v>2037</v>
      </c>
      <c r="B2039" s="6" t="str">
        <f>"299420210525190935106300"</f>
        <v>299420210525190935106300</v>
      </c>
      <c r="C2039" s="6" t="s">
        <v>553</v>
      </c>
      <c r="D2039" s="6" t="str">
        <f>"庞启莹"</f>
        <v>庞启莹</v>
      </c>
      <c r="E2039" s="6" t="str">
        <f t="shared" si="65"/>
        <v>女</v>
      </c>
    </row>
    <row r="2040" spans="1:5" ht="30" customHeight="1">
      <c r="A2040" s="6">
        <v>2038</v>
      </c>
      <c r="B2040" s="6" t="str">
        <f>"299420210525191630106308"</f>
        <v>299420210525191630106308</v>
      </c>
      <c r="C2040" s="6" t="s">
        <v>553</v>
      </c>
      <c r="D2040" s="6" t="str">
        <f>"陈小平"</f>
        <v>陈小平</v>
      </c>
      <c r="E2040" s="6" t="str">
        <f t="shared" si="65"/>
        <v>女</v>
      </c>
    </row>
    <row r="2041" spans="1:5" ht="30" customHeight="1">
      <c r="A2041" s="6">
        <v>2039</v>
      </c>
      <c r="B2041" s="6" t="str">
        <f>"299420210525193229106348"</f>
        <v>299420210525193229106348</v>
      </c>
      <c r="C2041" s="6" t="s">
        <v>553</v>
      </c>
      <c r="D2041" s="6" t="str">
        <f>"王丽"</f>
        <v>王丽</v>
      </c>
      <c r="E2041" s="6" t="str">
        <f t="shared" si="65"/>
        <v>女</v>
      </c>
    </row>
    <row r="2042" spans="1:5" ht="30" customHeight="1">
      <c r="A2042" s="6">
        <v>2040</v>
      </c>
      <c r="B2042" s="6" t="str">
        <f>"299420210525193702106364"</f>
        <v>299420210525193702106364</v>
      </c>
      <c r="C2042" s="6" t="s">
        <v>553</v>
      </c>
      <c r="D2042" s="6" t="str">
        <f>"陈建元"</f>
        <v>陈建元</v>
      </c>
      <c r="E2042" s="6" t="str">
        <f>"男"</f>
        <v>男</v>
      </c>
    </row>
    <row r="2043" spans="1:5" ht="30" customHeight="1">
      <c r="A2043" s="6">
        <v>2041</v>
      </c>
      <c r="B2043" s="6" t="str">
        <f>"299420210525194005106372"</f>
        <v>299420210525194005106372</v>
      </c>
      <c r="C2043" s="6" t="s">
        <v>553</v>
      </c>
      <c r="D2043" s="6" t="str">
        <f>"张小玉"</f>
        <v>张小玉</v>
      </c>
      <c r="E2043" s="6" t="str">
        <f>"女"</f>
        <v>女</v>
      </c>
    </row>
    <row r="2044" spans="1:5" ht="30" customHeight="1">
      <c r="A2044" s="6">
        <v>2042</v>
      </c>
      <c r="B2044" s="6" t="str">
        <f>"299420210525194506106380"</f>
        <v>299420210525194506106380</v>
      </c>
      <c r="C2044" s="6" t="s">
        <v>553</v>
      </c>
      <c r="D2044" s="6" t="str">
        <f>"郭春霞"</f>
        <v>郭春霞</v>
      </c>
      <c r="E2044" s="6" t="str">
        <f>"女"</f>
        <v>女</v>
      </c>
    </row>
    <row r="2045" spans="1:5" ht="30" customHeight="1">
      <c r="A2045" s="6">
        <v>2043</v>
      </c>
      <c r="B2045" s="6" t="str">
        <f>"299420210525194920106389"</f>
        <v>299420210525194920106389</v>
      </c>
      <c r="C2045" s="6" t="s">
        <v>553</v>
      </c>
      <c r="D2045" s="6" t="str">
        <f>"陈春桂"</f>
        <v>陈春桂</v>
      </c>
      <c r="E2045" s="6" t="str">
        <f>"女"</f>
        <v>女</v>
      </c>
    </row>
    <row r="2046" spans="1:5" ht="30" customHeight="1">
      <c r="A2046" s="6">
        <v>2044</v>
      </c>
      <c r="B2046" s="6" t="str">
        <f>"299420210525195156106400"</f>
        <v>299420210525195156106400</v>
      </c>
      <c r="C2046" s="6" t="s">
        <v>553</v>
      </c>
      <c r="D2046" s="6" t="str">
        <f>"黎培旭"</f>
        <v>黎培旭</v>
      </c>
      <c r="E2046" s="6" t="str">
        <f>"男"</f>
        <v>男</v>
      </c>
    </row>
    <row r="2047" spans="1:5" ht="30" customHeight="1">
      <c r="A2047" s="6">
        <v>2045</v>
      </c>
      <c r="B2047" s="6" t="str">
        <f>"299420210525195236106402"</f>
        <v>299420210525195236106402</v>
      </c>
      <c r="C2047" s="6" t="s">
        <v>553</v>
      </c>
      <c r="D2047" s="6" t="str">
        <f>"杨观华"</f>
        <v>杨观华</v>
      </c>
      <c r="E2047" s="6" t="str">
        <f>"女"</f>
        <v>女</v>
      </c>
    </row>
    <row r="2048" spans="1:5" ht="30" customHeight="1">
      <c r="A2048" s="6">
        <v>2046</v>
      </c>
      <c r="B2048" s="6" t="str">
        <f>"299420210525195407106406"</f>
        <v>299420210525195407106406</v>
      </c>
      <c r="C2048" s="6" t="s">
        <v>553</v>
      </c>
      <c r="D2048" s="6" t="str">
        <f>"肖选南"</f>
        <v>肖选南</v>
      </c>
      <c r="E2048" s="6" t="str">
        <f>"女"</f>
        <v>女</v>
      </c>
    </row>
    <row r="2049" spans="1:5" ht="30" customHeight="1">
      <c r="A2049" s="6">
        <v>2047</v>
      </c>
      <c r="B2049" s="6" t="str">
        <f>"299420210525195659106411"</f>
        <v>299420210525195659106411</v>
      </c>
      <c r="C2049" s="6" t="s">
        <v>553</v>
      </c>
      <c r="D2049" s="6" t="str">
        <f>"蔚佳欣"</f>
        <v>蔚佳欣</v>
      </c>
      <c r="E2049" s="6" t="str">
        <f>"女"</f>
        <v>女</v>
      </c>
    </row>
    <row r="2050" spans="1:5" ht="30" customHeight="1">
      <c r="A2050" s="6">
        <v>2048</v>
      </c>
      <c r="B2050" s="6" t="str">
        <f>"299420210525200751106435"</f>
        <v>299420210525200751106435</v>
      </c>
      <c r="C2050" s="6" t="s">
        <v>553</v>
      </c>
      <c r="D2050" s="6" t="str">
        <f>"黄小怀"</f>
        <v>黄小怀</v>
      </c>
      <c r="E2050" s="6" t="str">
        <f>"女"</f>
        <v>女</v>
      </c>
    </row>
    <row r="2051" spans="1:5" ht="30" customHeight="1">
      <c r="A2051" s="6">
        <v>2049</v>
      </c>
      <c r="B2051" s="6" t="str">
        <f>"299420210525201836106458"</f>
        <v>299420210525201836106458</v>
      </c>
      <c r="C2051" s="6" t="s">
        <v>553</v>
      </c>
      <c r="D2051" s="6" t="str">
        <f>"李丽莎"</f>
        <v>李丽莎</v>
      </c>
      <c r="E2051" s="6" t="str">
        <f>"女"</f>
        <v>女</v>
      </c>
    </row>
    <row r="2052" spans="1:5" ht="30" customHeight="1">
      <c r="A2052" s="6">
        <v>2050</v>
      </c>
      <c r="B2052" s="6" t="str">
        <f>"299420210525202001106462"</f>
        <v>299420210525202001106462</v>
      </c>
      <c r="C2052" s="6" t="s">
        <v>553</v>
      </c>
      <c r="D2052" s="6" t="str">
        <f>"徐嘉骏"</f>
        <v>徐嘉骏</v>
      </c>
      <c r="E2052" s="6" t="str">
        <f>"男"</f>
        <v>男</v>
      </c>
    </row>
    <row r="2053" spans="1:5" ht="30" customHeight="1">
      <c r="A2053" s="6">
        <v>2051</v>
      </c>
      <c r="B2053" s="6" t="str">
        <f>"299420210525203020106492"</f>
        <v>299420210525203020106492</v>
      </c>
      <c r="C2053" s="6" t="s">
        <v>553</v>
      </c>
      <c r="D2053" s="6" t="str">
        <f>"陈菲菲"</f>
        <v>陈菲菲</v>
      </c>
      <c r="E2053" s="6" t="str">
        <f>"女"</f>
        <v>女</v>
      </c>
    </row>
    <row r="2054" spans="1:5" ht="30" customHeight="1">
      <c r="A2054" s="6">
        <v>2052</v>
      </c>
      <c r="B2054" s="6" t="str">
        <f>"299420210525204342106522"</f>
        <v>299420210525204342106522</v>
      </c>
      <c r="C2054" s="6" t="s">
        <v>553</v>
      </c>
      <c r="D2054" s="6" t="str">
        <f>"吴思颖"</f>
        <v>吴思颖</v>
      </c>
      <c r="E2054" s="6" t="str">
        <f>"女"</f>
        <v>女</v>
      </c>
    </row>
    <row r="2055" spans="1:5" ht="30" customHeight="1">
      <c r="A2055" s="6">
        <v>2053</v>
      </c>
      <c r="B2055" s="6" t="str">
        <f>"299420210525204438106525"</f>
        <v>299420210525204438106525</v>
      </c>
      <c r="C2055" s="6" t="s">
        <v>553</v>
      </c>
      <c r="D2055" s="6" t="str">
        <f>"黄婷婷"</f>
        <v>黄婷婷</v>
      </c>
      <c r="E2055" s="6" t="str">
        <f>"女"</f>
        <v>女</v>
      </c>
    </row>
    <row r="2056" spans="1:5" ht="30" customHeight="1">
      <c r="A2056" s="6">
        <v>2054</v>
      </c>
      <c r="B2056" s="6" t="str">
        <f>"299420210525204949106531"</f>
        <v>299420210525204949106531</v>
      </c>
      <c r="C2056" s="6" t="s">
        <v>553</v>
      </c>
      <c r="D2056" s="6" t="str">
        <f>"黎瑞谦"</f>
        <v>黎瑞谦</v>
      </c>
      <c r="E2056" s="6" t="str">
        <f>"男"</f>
        <v>男</v>
      </c>
    </row>
    <row r="2057" spans="1:5" ht="30" customHeight="1">
      <c r="A2057" s="6">
        <v>2055</v>
      </c>
      <c r="B2057" s="6" t="str">
        <f>"299420210525205033106532"</f>
        <v>299420210525205033106532</v>
      </c>
      <c r="C2057" s="6" t="s">
        <v>553</v>
      </c>
      <c r="D2057" s="6" t="str">
        <f>"梁祖敏"</f>
        <v>梁祖敏</v>
      </c>
      <c r="E2057" s="6" t="str">
        <f>"男"</f>
        <v>男</v>
      </c>
    </row>
    <row r="2058" spans="1:5" ht="30" customHeight="1">
      <c r="A2058" s="6">
        <v>2056</v>
      </c>
      <c r="B2058" s="6" t="str">
        <f>"299420210525205959106547"</f>
        <v>299420210525205959106547</v>
      </c>
      <c r="C2058" s="6" t="s">
        <v>553</v>
      </c>
      <c r="D2058" s="6" t="str">
        <f>"纪少兀"</f>
        <v>纪少兀</v>
      </c>
      <c r="E2058" s="6" t="str">
        <f aca="true" t="shared" si="66" ref="E2058:E2064">"女"</f>
        <v>女</v>
      </c>
    </row>
    <row r="2059" spans="1:5" ht="30" customHeight="1">
      <c r="A2059" s="6">
        <v>2057</v>
      </c>
      <c r="B2059" s="6" t="str">
        <f>"299420210525211020106571"</f>
        <v>299420210525211020106571</v>
      </c>
      <c r="C2059" s="6" t="s">
        <v>553</v>
      </c>
      <c r="D2059" s="6" t="str">
        <f>"王丽贝"</f>
        <v>王丽贝</v>
      </c>
      <c r="E2059" s="6" t="str">
        <f t="shared" si="66"/>
        <v>女</v>
      </c>
    </row>
    <row r="2060" spans="1:5" ht="30" customHeight="1">
      <c r="A2060" s="6">
        <v>2058</v>
      </c>
      <c r="B2060" s="6" t="str">
        <f>"299420210525211708106589"</f>
        <v>299420210525211708106589</v>
      </c>
      <c r="C2060" s="6" t="s">
        <v>553</v>
      </c>
      <c r="D2060" s="6" t="str">
        <f>"翁先仙"</f>
        <v>翁先仙</v>
      </c>
      <c r="E2060" s="6" t="str">
        <f t="shared" si="66"/>
        <v>女</v>
      </c>
    </row>
    <row r="2061" spans="1:5" ht="30" customHeight="1">
      <c r="A2061" s="6">
        <v>2059</v>
      </c>
      <c r="B2061" s="6" t="str">
        <f>"299420210525211724106591"</f>
        <v>299420210525211724106591</v>
      </c>
      <c r="C2061" s="6" t="s">
        <v>553</v>
      </c>
      <c r="D2061" s="6" t="str">
        <f>"郭佼蕾"</f>
        <v>郭佼蕾</v>
      </c>
      <c r="E2061" s="6" t="str">
        <f t="shared" si="66"/>
        <v>女</v>
      </c>
    </row>
    <row r="2062" spans="1:5" ht="30" customHeight="1">
      <c r="A2062" s="6">
        <v>2060</v>
      </c>
      <c r="B2062" s="6" t="str">
        <f>"299420210525211903106597"</f>
        <v>299420210525211903106597</v>
      </c>
      <c r="C2062" s="6" t="s">
        <v>553</v>
      </c>
      <c r="D2062" s="6" t="str">
        <f>"云茹"</f>
        <v>云茹</v>
      </c>
      <c r="E2062" s="6" t="str">
        <f t="shared" si="66"/>
        <v>女</v>
      </c>
    </row>
    <row r="2063" spans="1:5" ht="30" customHeight="1">
      <c r="A2063" s="6">
        <v>2061</v>
      </c>
      <c r="B2063" s="6" t="str">
        <f>"299420210525212648106615"</f>
        <v>299420210525212648106615</v>
      </c>
      <c r="C2063" s="6" t="s">
        <v>553</v>
      </c>
      <c r="D2063" s="6" t="str">
        <f>"蒙燕倩"</f>
        <v>蒙燕倩</v>
      </c>
      <c r="E2063" s="6" t="str">
        <f t="shared" si="66"/>
        <v>女</v>
      </c>
    </row>
    <row r="2064" spans="1:5" ht="30" customHeight="1">
      <c r="A2064" s="6">
        <v>2062</v>
      </c>
      <c r="B2064" s="6" t="str">
        <f>"299420210525212719106618"</f>
        <v>299420210525212719106618</v>
      </c>
      <c r="C2064" s="6" t="s">
        <v>553</v>
      </c>
      <c r="D2064" s="6" t="str">
        <f>"郑海月"</f>
        <v>郑海月</v>
      </c>
      <c r="E2064" s="6" t="str">
        <f t="shared" si="66"/>
        <v>女</v>
      </c>
    </row>
    <row r="2065" spans="1:5" ht="30" customHeight="1">
      <c r="A2065" s="6">
        <v>2063</v>
      </c>
      <c r="B2065" s="6" t="str">
        <f>"299420210525213328106633"</f>
        <v>299420210525213328106633</v>
      </c>
      <c r="C2065" s="6" t="s">
        <v>553</v>
      </c>
      <c r="D2065" s="6" t="str">
        <f>"李尤鹏"</f>
        <v>李尤鹏</v>
      </c>
      <c r="E2065" s="6" t="str">
        <f>"男"</f>
        <v>男</v>
      </c>
    </row>
    <row r="2066" spans="1:5" ht="30" customHeight="1">
      <c r="A2066" s="6">
        <v>2064</v>
      </c>
      <c r="B2066" s="6" t="str">
        <f>"299420210525213717106643"</f>
        <v>299420210525213717106643</v>
      </c>
      <c r="C2066" s="6" t="s">
        <v>553</v>
      </c>
      <c r="D2066" s="6" t="str">
        <f>"林佳婷"</f>
        <v>林佳婷</v>
      </c>
      <c r="E2066" s="6" t="str">
        <f>"女"</f>
        <v>女</v>
      </c>
    </row>
    <row r="2067" spans="1:5" ht="30" customHeight="1">
      <c r="A2067" s="6">
        <v>2065</v>
      </c>
      <c r="B2067" s="6" t="str">
        <f>"299420210525214656106671"</f>
        <v>299420210525214656106671</v>
      </c>
      <c r="C2067" s="6" t="s">
        <v>553</v>
      </c>
      <c r="D2067" s="6" t="str">
        <f>"文子慧"</f>
        <v>文子慧</v>
      </c>
      <c r="E2067" s="6" t="str">
        <f>"女"</f>
        <v>女</v>
      </c>
    </row>
    <row r="2068" spans="1:5" ht="30" customHeight="1">
      <c r="A2068" s="6">
        <v>2066</v>
      </c>
      <c r="B2068" s="6" t="str">
        <f>"299420210525215300106682"</f>
        <v>299420210525215300106682</v>
      </c>
      <c r="C2068" s="6" t="s">
        <v>553</v>
      </c>
      <c r="D2068" s="6" t="str">
        <f>"冼妹端"</f>
        <v>冼妹端</v>
      </c>
      <c r="E2068" s="6" t="str">
        <f>"女"</f>
        <v>女</v>
      </c>
    </row>
    <row r="2069" spans="1:5" ht="30" customHeight="1">
      <c r="A2069" s="6">
        <v>2067</v>
      </c>
      <c r="B2069" s="6" t="str">
        <f>"299420210525221136106721"</f>
        <v>299420210525221136106721</v>
      </c>
      <c r="C2069" s="6" t="s">
        <v>553</v>
      </c>
      <c r="D2069" s="6" t="str">
        <f>"符朝兴"</f>
        <v>符朝兴</v>
      </c>
      <c r="E2069" s="6" t="str">
        <f>"男"</f>
        <v>男</v>
      </c>
    </row>
    <row r="2070" spans="1:5" ht="30" customHeight="1">
      <c r="A2070" s="6">
        <v>2068</v>
      </c>
      <c r="B2070" s="6" t="str">
        <f>"299420210525222024106737"</f>
        <v>299420210525222024106737</v>
      </c>
      <c r="C2070" s="6" t="s">
        <v>553</v>
      </c>
      <c r="D2070" s="6" t="str">
        <f>"吴秀桂"</f>
        <v>吴秀桂</v>
      </c>
      <c r="E2070" s="6" t="str">
        <f>"女"</f>
        <v>女</v>
      </c>
    </row>
    <row r="2071" spans="1:5" ht="30" customHeight="1">
      <c r="A2071" s="6">
        <v>2069</v>
      </c>
      <c r="B2071" s="6" t="str">
        <f>"299420210525222123106742"</f>
        <v>299420210525222123106742</v>
      </c>
      <c r="C2071" s="6" t="s">
        <v>553</v>
      </c>
      <c r="D2071" s="6" t="str">
        <f>"胡培顺"</f>
        <v>胡培顺</v>
      </c>
      <c r="E2071" s="6" t="str">
        <f>"女"</f>
        <v>女</v>
      </c>
    </row>
    <row r="2072" spans="1:5" ht="30" customHeight="1">
      <c r="A2072" s="6">
        <v>2070</v>
      </c>
      <c r="B2072" s="6" t="str">
        <f>"299420210525222439106748"</f>
        <v>299420210525222439106748</v>
      </c>
      <c r="C2072" s="6" t="s">
        <v>553</v>
      </c>
      <c r="D2072" s="6" t="str">
        <f>"邢筱云"</f>
        <v>邢筱云</v>
      </c>
      <c r="E2072" s="6" t="str">
        <f>"女"</f>
        <v>女</v>
      </c>
    </row>
    <row r="2073" spans="1:5" ht="30" customHeight="1">
      <c r="A2073" s="6">
        <v>2071</v>
      </c>
      <c r="B2073" s="6" t="str">
        <f>"299420210525222505106751"</f>
        <v>299420210525222505106751</v>
      </c>
      <c r="C2073" s="6" t="s">
        <v>553</v>
      </c>
      <c r="D2073" s="6" t="str">
        <f>"王家富"</f>
        <v>王家富</v>
      </c>
      <c r="E2073" s="6" t="str">
        <f>"男"</f>
        <v>男</v>
      </c>
    </row>
    <row r="2074" spans="1:5" ht="30" customHeight="1">
      <c r="A2074" s="6">
        <v>2072</v>
      </c>
      <c r="B2074" s="6" t="str">
        <f>"299420210525222807106757"</f>
        <v>299420210525222807106757</v>
      </c>
      <c r="C2074" s="6" t="s">
        <v>553</v>
      </c>
      <c r="D2074" s="6" t="str">
        <f>"陈送玲"</f>
        <v>陈送玲</v>
      </c>
      <c r="E2074" s="6" t="str">
        <f aca="true" t="shared" si="67" ref="E2074:E2081">"女"</f>
        <v>女</v>
      </c>
    </row>
    <row r="2075" spans="1:5" ht="30" customHeight="1">
      <c r="A2075" s="6">
        <v>2073</v>
      </c>
      <c r="B2075" s="6" t="str">
        <f>"299420210525222907106758"</f>
        <v>299420210525222907106758</v>
      </c>
      <c r="C2075" s="6" t="s">
        <v>553</v>
      </c>
      <c r="D2075" s="6" t="str">
        <f>"陈孟紫"</f>
        <v>陈孟紫</v>
      </c>
      <c r="E2075" s="6" t="str">
        <f t="shared" si="67"/>
        <v>女</v>
      </c>
    </row>
    <row r="2076" spans="1:5" ht="30" customHeight="1">
      <c r="A2076" s="6">
        <v>2074</v>
      </c>
      <c r="B2076" s="6" t="str">
        <f>"299420210525223747106778"</f>
        <v>299420210525223747106778</v>
      </c>
      <c r="C2076" s="6" t="s">
        <v>553</v>
      </c>
      <c r="D2076" s="6" t="str">
        <f>"符凤君"</f>
        <v>符凤君</v>
      </c>
      <c r="E2076" s="6" t="str">
        <f t="shared" si="67"/>
        <v>女</v>
      </c>
    </row>
    <row r="2077" spans="1:5" ht="30" customHeight="1">
      <c r="A2077" s="6">
        <v>2075</v>
      </c>
      <c r="B2077" s="6" t="str">
        <f>"299420210525224153106790"</f>
        <v>299420210525224153106790</v>
      </c>
      <c r="C2077" s="6" t="s">
        <v>553</v>
      </c>
      <c r="D2077" s="6" t="str">
        <f>"李丽敏"</f>
        <v>李丽敏</v>
      </c>
      <c r="E2077" s="6" t="str">
        <f t="shared" si="67"/>
        <v>女</v>
      </c>
    </row>
    <row r="2078" spans="1:5" ht="30" customHeight="1">
      <c r="A2078" s="6">
        <v>2076</v>
      </c>
      <c r="B2078" s="6" t="str">
        <f>"299420210525224647106799"</f>
        <v>299420210525224647106799</v>
      </c>
      <c r="C2078" s="6" t="s">
        <v>553</v>
      </c>
      <c r="D2078" s="6" t="str">
        <f>"李禄瑞"</f>
        <v>李禄瑞</v>
      </c>
      <c r="E2078" s="6" t="str">
        <f t="shared" si="67"/>
        <v>女</v>
      </c>
    </row>
    <row r="2079" spans="1:5" ht="30" customHeight="1">
      <c r="A2079" s="6">
        <v>2077</v>
      </c>
      <c r="B2079" s="6" t="str">
        <f>"299420210525224718106802"</f>
        <v>299420210525224718106802</v>
      </c>
      <c r="C2079" s="6" t="s">
        <v>553</v>
      </c>
      <c r="D2079" s="6" t="str">
        <f>"陈丽香"</f>
        <v>陈丽香</v>
      </c>
      <c r="E2079" s="6" t="str">
        <f t="shared" si="67"/>
        <v>女</v>
      </c>
    </row>
    <row r="2080" spans="1:5" ht="30" customHeight="1">
      <c r="A2080" s="6">
        <v>2078</v>
      </c>
      <c r="B2080" s="6" t="str">
        <f>"299420210525225754106819"</f>
        <v>299420210525225754106819</v>
      </c>
      <c r="C2080" s="6" t="s">
        <v>553</v>
      </c>
      <c r="D2080" s="6" t="str">
        <f>"符芳莉"</f>
        <v>符芳莉</v>
      </c>
      <c r="E2080" s="6" t="str">
        <f t="shared" si="67"/>
        <v>女</v>
      </c>
    </row>
    <row r="2081" spans="1:5" ht="30" customHeight="1">
      <c r="A2081" s="6">
        <v>2079</v>
      </c>
      <c r="B2081" s="6" t="str">
        <f>"299420210525231214106844"</f>
        <v>299420210525231214106844</v>
      </c>
      <c r="C2081" s="6" t="s">
        <v>553</v>
      </c>
      <c r="D2081" s="6" t="str">
        <f>"谭红芳"</f>
        <v>谭红芳</v>
      </c>
      <c r="E2081" s="6" t="str">
        <f t="shared" si="67"/>
        <v>女</v>
      </c>
    </row>
    <row r="2082" spans="1:5" ht="30" customHeight="1">
      <c r="A2082" s="6">
        <v>2080</v>
      </c>
      <c r="B2082" s="6" t="str">
        <f>"299420210525234716106891"</f>
        <v>299420210525234716106891</v>
      </c>
      <c r="C2082" s="6" t="s">
        <v>553</v>
      </c>
      <c r="D2082" s="6" t="str">
        <f>"周世仕"</f>
        <v>周世仕</v>
      </c>
      <c r="E2082" s="6" t="str">
        <f>"男"</f>
        <v>男</v>
      </c>
    </row>
    <row r="2083" spans="1:5" ht="30" customHeight="1">
      <c r="A2083" s="6">
        <v>2081</v>
      </c>
      <c r="B2083" s="6" t="str">
        <f>"299420210526000822106907"</f>
        <v>299420210526000822106907</v>
      </c>
      <c r="C2083" s="6" t="s">
        <v>553</v>
      </c>
      <c r="D2083" s="6" t="str">
        <f>"张宝月"</f>
        <v>张宝月</v>
      </c>
      <c r="E2083" s="6" t="str">
        <f aca="true" t="shared" si="68" ref="E2083:E2091">"女"</f>
        <v>女</v>
      </c>
    </row>
    <row r="2084" spans="1:5" ht="30" customHeight="1">
      <c r="A2084" s="6">
        <v>2082</v>
      </c>
      <c r="B2084" s="6" t="str">
        <f>"299420210526003056106925"</f>
        <v>299420210526003056106925</v>
      </c>
      <c r="C2084" s="6" t="s">
        <v>553</v>
      </c>
      <c r="D2084" s="6" t="str">
        <f>"陈娇妃"</f>
        <v>陈娇妃</v>
      </c>
      <c r="E2084" s="6" t="str">
        <f t="shared" si="68"/>
        <v>女</v>
      </c>
    </row>
    <row r="2085" spans="1:5" ht="30" customHeight="1">
      <c r="A2085" s="6">
        <v>2083</v>
      </c>
      <c r="B2085" s="6" t="str">
        <f>"299420210526004325106929"</f>
        <v>299420210526004325106929</v>
      </c>
      <c r="C2085" s="6" t="s">
        <v>553</v>
      </c>
      <c r="D2085" s="6" t="str">
        <f>"黄萃苑"</f>
        <v>黄萃苑</v>
      </c>
      <c r="E2085" s="6" t="str">
        <f t="shared" si="68"/>
        <v>女</v>
      </c>
    </row>
    <row r="2086" spans="1:5" ht="30" customHeight="1">
      <c r="A2086" s="6">
        <v>2084</v>
      </c>
      <c r="B2086" s="6" t="str">
        <f>"299420210526032004106944"</f>
        <v>299420210526032004106944</v>
      </c>
      <c r="C2086" s="6" t="s">
        <v>553</v>
      </c>
      <c r="D2086" s="6" t="str">
        <f>"吴婷婷"</f>
        <v>吴婷婷</v>
      </c>
      <c r="E2086" s="6" t="str">
        <f t="shared" si="68"/>
        <v>女</v>
      </c>
    </row>
    <row r="2087" spans="1:5" ht="30" customHeight="1">
      <c r="A2087" s="6">
        <v>2085</v>
      </c>
      <c r="B2087" s="6" t="str">
        <f>"299420210526060813106945"</f>
        <v>299420210526060813106945</v>
      </c>
      <c r="C2087" s="6" t="s">
        <v>553</v>
      </c>
      <c r="D2087" s="6" t="str">
        <f>"王春薇"</f>
        <v>王春薇</v>
      </c>
      <c r="E2087" s="6" t="str">
        <f t="shared" si="68"/>
        <v>女</v>
      </c>
    </row>
    <row r="2088" spans="1:5" ht="30" customHeight="1">
      <c r="A2088" s="6">
        <v>2086</v>
      </c>
      <c r="B2088" s="6" t="str">
        <f>"299420210526063246106947"</f>
        <v>299420210526063246106947</v>
      </c>
      <c r="C2088" s="6" t="s">
        <v>553</v>
      </c>
      <c r="D2088" s="6" t="str">
        <f>"盛萌"</f>
        <v>盛萌</v>
      </c>
      <c r="E2088" s="6" t="str">
        <f t="shared" si="68"/>
        <v>女</v>
      </c>
    </row>
    <row r="2089" spans="1:5" ht="30" customHeight="1">
      <c r="A2089" s="6">
        <v>2087</v>
      </c>
      <c r="B2089" s="6" t="str">
        <f>"299420210526074342106962"</f>
        <v>299420210526074342106962</v>
      </c>
      <c r="C2089" s="6" t="s">
        <v>553</v>
      </c>
      <c r="D2089" s="6" t="str">
        <f>"苏艺"</f>
        <v>苏艺</v>
      </c>
      <c r="E2089" s="6" t="str">
        <f t="shared" si="68"/>
        <v>女</v>
      </c>
    </row>
    <row r="2090" spans="1:5" ht="30" customHeight="1">
      <c r="A2090" s="6">
        <v>2088</v>
      </c>
      <c r="B2090" s="6" t="str">
        <f>"299420210526075229106967"</f>
        <v>299420210526075229106967</v>
      </c>
      <c r="C2090" s="6" t="s">
        <v>553</v>
      </c>
      <c r="D2090" s="6" t="str">
        <f>"罗全迷"</f>
        <v>罗全迷</v>
      </c>
      <c r="E2090" s="6" t="str">
        <f t="shared" si="68"/>
        <v>女</v>
      </c>
    </row>
    <row r="2091" spans="1:5" ht="30" customHeight="1">
      <c r="A2091" s="6">
        <v>2089</v>
      </c>
      <c r="B2091" s="6" t="str">
        <f>"299420210526080116106974"</f>
        <v>299420210526080116106974</v>
      </c>
      <c r="C2091" s="6" t="s">
        <v>553</v>
      </c>
      <c r="D2091" s="6" t="str">
        <f>"张业易"</f>
        <v>张业易</v>
      </c>
      <c r="E2091" s="6" t="str">
        <f t="shared" si="68"/>
        <v>女</v>
      </c>
    </row>
    <row r="2092" spans="1:5" ht="30" customHeight="1">
      <c r="A2092" s="6">
        <v>2090</v>
      </c>
      <c r="B2092" s="6" t="str">
        <f>"299420210526080337106979"</f>
        <v>299420210526080337106979</v>
      </c>
      <c r="C2092" s="6" t="s">
        <v>553</v>
      </c>
      <c r="D2092" s="6" t="str">
        <f>"冯乃宏"</f>
        <v>冯乃宏</v>
      </c>
      <c r="E2092" s="6" t="str">
        <f>"男"</f>
        <v>男</v>
      </c>
    </row>
    <row r="2093" spans="1:5" ht="30" customHeight="1">
      <c r="A2093" s="6">
        <v>2091</v>
      </c>
      <c r="B2093" s="6" t="str">
        <f>"299420210526080507106982"</f>
        <v>299420210526080507106982</v>
      </c>
      <c r="C2093" s="6" t="s">
        <v>553</v>
      </c>
      <c r="D2093" s="6" t="str">
        <f>"郑丽妃"</f>
        <v>郑丽妃</v>
      </c>
      <c r="E2093" s="6" t="str">
        <f aca="true" t="shared" si="69" ref="E2093:E2123">"女"</f>
        <v>女</v>
      </c>
    </row>
    <row r="2094" spans="1:5" ht="30" customHeight="1">
      <c r="A2094" s="6">
        <v>2092</v>
      </c>
      <c r="B2094" s="6" t="str">
        <f>"299420210526081323106990"</f>
        <v>299420210526081323106990</v>
      </c>
      <c r="C2094" s="6" t="s">
        <v>553</v>
      </c>
      <c r="D2094" s="6" t="str">
        <f>"李丽君"</f>
        <v>李丽君</v>
      </c>
      <c r="E2094" s="6" t="str">
        <f t="shared" si="69"/>
        <v>女</v>
      </c>
    </row>
    <row r="2095" spans="1:5" ht="30" customHeight="1">
      <c r="A2095" s="6">
        <v>2093</v>
      </c>
      <c r="B2095" s="6" t="str">
        <f>"299420210526082913107006"</f>
        <v>299420210526082913107006</v>
      </c>
      <c r="C2095" s="6" t="s">
        <v>553</v>
      </c>
      <c r="D2095" s="6" t="str">
        <f>"何民丹"</f>
        <v>何民丹</v>
      </c>
      <c r="E2095" s="6" t="str">
        <f t="shared" si="69"/>
        <v>女</v>
      </c>
    </row>
    <row r="2096" spans="1:5" ht="30" customHeight="1">
      <c r="A2096" s="6">
        <v>2094</v>
      </c>
      <c r="B2096" s="6" t="str">
        <f>"299420210526083931107023"</f>
        <v>299420210526083931107023</v>
      </c>
      <c r="C2096" s="6" t="s">
        <v>553</v>
      </c>
      <c r="D2096" s="6" t="str">
        <f>"魏帆帆"</f>
        <v>魏帆帆</v>
      </c>
      <c r="E2096" s="6" t="str">
        <f t="shared" si="69"/>
        <v>女</v>
      </c>
    </row>
    <row r="2097" spans="1:5" ht="30" customHeight="1">
      <c r="A2097" s="6">
        <v>2095</v>
      </c>
      <c r="B2097" s="6" t="str">
        <f>"299420210526084324107028"</f>
        <v>299420210526084324107028</v>
      </c>
      <c r="C2097" s="6" t="s">
        <v>553</v>
      </c>
      <c r="D2097" s="6" t="str">
        <f>"冯彩莲"</f>
        <v>冯彩莲</v>
      </c>
      <c r="E2097" s="6" t="str">
        <f t="shared" si="69"/>
        <v>女</v>
      </c>
    </row>
    <row r="2098" spans="1:5" ht="30" customHeight="1">
      <c r="A2098" s="6">
        <v>2096</v>
      </c>
      <c r="B2098" s="6" t="str">
        <f>"299420210526084659107032"</f>
        <v>299420210526084659107032</v>
      </c>
      <c r="C2098" s="6" t="s">
        <v>553</v>
      </c>
      <c r="D2098" s="6" t="str">
        <f>"王海丽"</f>
        <v>王海丽</v>
      </c>
      <c r="E2098" s="6" t="str">
        <f t="shared" si="69"/>
        <v>女</v>
      </c>
    </row>
    <row r="2099" spans="1:5" ht="30" customHeight="1">
      <c r="A2099" s="6">
        <v>2097</v>
      </c>
      <c r="B2099" s="6" t="str">
        <f>"299420210526084801107035"</f>
        <v>299420210526084801107035</v>
      </c>
      <c r="C2099" s="6" t="s">
        <v>553</v>
      </c>
      <c r="D2099" s="6" t="str">
        <f>"李月华"</f>
        <v>李月华</v>
      </c>
      <c r="E2099" s="6" t="str">
        <f t="shared" si="69"/>
        <v>女</v>
      </c>
    </row>
    <row r="2100" spans="1:5" ht="30" customHeight="1">
      <c r="A2100" s="6">
        <v>2098</v>
      </c>
      <c r="B2100" s="6" t="str">
        <f>"299420210526085105107048"</f>
        <v>299420210526085105107048</v>
      </c>
      <c r="C2100" s="6" t="s">
        <v>553</v>
      </c>
      <c r="D2100" s="6" t="str">
        <f>"陈玲玲"</f>
        <v>陈玲玲</v>
      </c>
      <c r="E2100" s="6" t="str">
        <f t="shared" si="69"/>
        <v>女</v>
      </c>
    </row>
    <row r="2101" spans="1:5" ht="30" customHeight="1">
      <c r="A2101" s="6">
        <v>2099</v>
      </c>
      <c r="B2101" s="6" t="str">
        <f>"299420210526085551107052"</f>
        <v>299420210526085551107052</v>
      </c>
      <c r="C2101" s="6" t="s">
        <v>553</v>
      </c>
      <c r="D2101" s="6" t="str">
        <f>"郭丽"</f>
        <v>郭丽</v>
      </c>
      <c r="E2101" s="6" t="str">
        <f t="shared" si="69"/>
        <v>女</v>
      </c>
    </row>
    <row r="2102" spans="1:5" ht="30" customHeight="1">
      <c r="A2102" s="6">
        <v>2100</v>
      </c>
      <c r="B2102" s="6" t="str">
        <f>"299420210526085738107053"</f>
        <v>299420210526085738107053</v>
      </c>
      <c r="C2102" s="6" t="s">
        <v>553</v>
      </c>
      <c r="D2102" s="6" t="str">
        <f>"赵礼佳"</f>
        <v>赵礼佳</v>
      </c>
      <c r="E2102" s="6" t="str">
        <f t="shared" si="69"/>
        <v>女</v>
      </c>
    </row>
    <row r="2103" spans="1:5" ht="30" customHeight="1">
      <c r="A2103" s="6">
        <v>2101</v>
      </c>
      <c r="B2103" s="6" t="str">
        <f>"299420210526090241107063"</f>
        <v>299420210526090241107063</v>
      </c>
      <c r="C2103" s="6" t="s">
        <v>553</v>
      </c>
      <c r="D2103" s="6" t="str">
        <f>"郑亚利"</f>
        <v>郑亚利</v>
      </c>
      <c r="E2103" s="6" t="str">
        <f t="shared" si="69"/>
        <v>女</v>
      </c>
    </row>
    <row r="2104" spans="1:5" ht="30" customHeight="1">
      <c r="A2104" s="6">
        <v>2102</v>
      </c>
      <c r="B2104" s="6" t="str">
        <f>"299420210526090656107067"</f>
        <v>299420210526090656107067</v>
      </c>
      <c r="C2104" s="6" t="s">
        <v>553</v>
      </c>
      <c r="D2104" s="6" t="str">
        <f>"王彩湖"</f>
        <v>王彩湖</v>
      </c>
      <c r="E2104" s="6" t="str">
        <f t="shared" si="69"/>
        <v>女</v>
      </c>
    </row>
    <row r="2105" spans="1:5" ht="30" customHeight="1">
      <c r="A2105" s="6">
        <v>2103</v>
      </c>
      <c r="B2105" s="6" t="str">
        <f>"299420210526091350107078"</f>
        <v>299420210526091350107078</v>
      </c>
      <c r="C2105" s="6" t="s">
        <v>553</v>
      </c>
      <c r="D2105" s="6" t="str">
        <f>"潘冬蓉"</f>
        <v>潘冬蓉</v>
      </c>
      <c r="E2105" s="6" t="str">
        <f t="shared" si="69"/>
        <v>女</v>
      </c>
    </row>
    <row r="2106" spans="1:5" ht="30" customHeight="1">
      <c r="A2106" s="6">
        <v>2104</v>
      </c>
      <c r="B2106" s="6" t="str">
        <f>"299420210526091618107090"</f>
        <v>299420210526091618107090</v>
      </c>
      <c r="C2106" s="6" t="s">
        <v>553</v>
      </c>
      <c r="D2106" s="6" t="str">
        <f>"刘文"</f>
        <v>刘文</v>
      </c>
      <c r="E2106" s="6" t="str">
        <f t="shared" si="69"/>
        <v>女</v>
      </c>
    </row>
    <row r="2107" spans="1:5" ht="30" customHeight="1">
      <c r="A2107" s="6">
        <v>2105</v>
      </c>
      <c r="B2107" s="6" t="str">
        <f>"299420210526093202107129"</f>
        <v>299420210526093202107129</v>
      </c>
      <c r="C2107" s="6" t="s">
        <v>553</v>
      </c>
      <c r="D2107" s="6" t="str">
        <f>"郭小慧"</f>
        <v>郭小慧</v>
      </c>
      <c r="E2107" s="6" t="str">
        <f t="shared" si="69"/>
        <v>女</v>
      </c>
    </row>
    <row r="2108" spans="1:5" ht="30" customHeight="1">
      <c r="A2108" s="6">
        <v>2106</v>
      </c>
      <c r="B2108" s="6" t="str">
        <f>"299420210526093222107131"</f>
        <v>299420210526093222107131</v>
      </c>
      <c r="C2108" s="6" t="s">
        <v>553</v>
      </c>
      <c r="D2108" s="6" t="str">
        <f>"张雪莲"</f>
        <v>张雪莲</v>
      </c>
      <c r="E2108" s="6" t="str">
        <f t="shared" si="69"/>
        <v>女</v>
      </c>
    </row>
    <row r="2109" spans="1:5" ht="30" customHeight="1">
      <c r="A2109" s="6">
        <v>2107</v>
      </c>
      <c r="B2109" s="6" t="str">
        <f>"299420210526093848107136"</f>
        <v>299420210526093848107136</v>
      </c>
      <c r="C2109" s="6" t="s">
        <v>553</v>
      </c>
      <c r="D2109" s="6" t="str">
        <f>"吴昭慧"</f>
        <v>吴昭慧</v>
      </c>
      <c r="E2109" s="6" t="str">
        <f t="shared" si="69"/>
        <v>女</v>
      </c>
    </row>
    <row r="2110" spans="1:5" ht="30" customHeight="1">
      <c r="A2110" s="6">
        <v>2108</v>
      </c>
      <c r="B2110" s="6" t="str">
        <f>"299420210526094257107157"</f>
        <v>299420210526094257107157</v>
      </c>
      <c r="C2110" s="6" t="s">
        <v>553</v>
      </c>
      <c r="D2110" s="6" t="str">
        <f>"林福爽"</f>
        <v>林福爽</v>
      </c>
      <c r="E2110" s="6" t="str">
        <f t="shared" si="69"/>
        <v>女</v>
      </c>
    </row>
    <row r="2111" spans="1:5" ht="30" customHeight="1">
      <c r="A2111" s="6">
        <v>2109</v>
      </c>
      <c r="B2111" s="6" t="str">
        <f>"299420210526094912107168"</f>
        <v>299420210526094912107168</v>
      </c>
      <c r="C2111" s="6" t="s">
        <v>553</v>
      </c>
      <c r="D2111" s="6" t="str">
        <f>"许月辽"</f>
        <v>许月辽</v>
      </c>
      <c r="E2111" s="6" t="str">
        <f t="shared" si="69"/>
        <v>女</v>
      </c>
    </row>
    <row r="2112" spans="1:5" ht="30" customHeight="1">
      <c r="A2112" s="6">
        <v>2110</v>
      </c>
      <c r="B2112" s="6" t="str">
        <f>"299420210526100538107207"</f>
        <v>299420210526100538107207</v>
      </c>
      <c r="C2112" s="6" t="s">
        <v>553</v>
      </c>
      <c r="D2112" s="6" t="str">
        <f>"邓春妹"</f>
        <v>邓春妹</v>
      </c>
      <c r="E2112" s="6" t="str">
        <f t="shared" si="69"/>
        <v>女</v>
      </c>
    </row>
    <row r="2113" spans="1:5" ht="30" customHeight="1">
      <c r="A2113" s="6">
        <v>2111</v>
      </c>
      <c r="B2113" s="6" t="str">
        <f>"299420210526100618107209"</f>
        <v>299420210526100618107209</v>
      </c>
      <c r="C2113" s="6" t="s">
        <v>553</v>
      </c>
      <c r="D2113" s="6" t="str">
        <f>"许佩汝"</f>
        <v>许佩汝</v>
      </c>
      <c r="E2113" s="6" t="str">
        <f t="shared" si="69"/>
        <v>女</v>
      </c>
    </row>
    <row r="2114" spans="1:5" ht="30" customHeight="1">
      <c r="A2114" s="6">
        <v>2112</v>
      </c>
      <c r="B2114" s="6" t="str">
        <f>"299420210526100750107215"</f>
        <v>299420210526100750107215</v>
      </c>
      <c r="C2114" s="6" t="s">
        <v>553</v>
      </c>
      <c r="D2114" s="6" t="str">
        <f>"罗明玲"</f>
        <v>罗明玲</v>
      </c>
      <c r="E2114" s="6" t="str">
        <f t="shared" si="69"/>
        <v>女</v>
      </c>
    </row>
    <row r="2115" spans="1:5" ht="30" customHeight="1">
      <c r="A2115" s="6">
        <v>2113</v>
      </c>
      <c r="B2115" s="6" t="str">
        <f>"299420210526100751107216"</f>
        <v>299420210526100751107216</v>
      </c>
      <c r="C2115" s="6" t="s">
        <v>553</v>
      </c>
      <c r="D2115" s="6" t="str">
        <f>"黄燕玲"</f>
        <v>黄燕玲</v>
      </c>
      <c r="E2115" s="6" t="str">
        <f t="shared" si="69"/>
        <v>女</v>
      </c>
    </row>
    <row r="2116" spans="1:5" ht="30" customHeight="1">
      <c r="A2116" s="6">
        <v>2114</v>
      </c>
      <c r="B2116" s="6" t="str">
        <f>"299420210526101616107238"</f>
        <v>299420210526101616107238</v>
      </c>
      <c r="C2116" s="6" t="s">
        <v>553</v>
      </c>
      <c r="D2116" s="6" t="str">
        <f>"董江娥"</f>
        <v>董江娥</v>
      </c>
      <c r="E2116" s="6" t="str">
        <f t="shared" si="69"/>
        <v>女</v>
      </c>
    </row>
    <row r="2117" spans="1:5" ht="30" customHeight="1">
      <c r="A2117" s="6">
        <v>2115</v>
      </c>
      <c r="B2117" s="6" t="str">
        <f>"299420210526102254107260"</f>
        <v>299420210526102254107260</v>
      </c>
      <c r="C2117" s="6" t="s">
        <v>553</v>
      </c>
      <c r="D2117" s="6" t="str">
        <f>"周瑜娇"</f>
        <v>周瑜娇</v>
      </c>
      <c r="E2117" s="6" t="str">
        <f t="shared" si="69"/>
        <v>女</v>
      </c>
    </row>
    <row r="2118" spans="1:5" ht="30" customHeight="1">
      <c r="A2118" s="6">
        <v>2116</v>
      </c>
      <c r="B2118" s="6" t="str">
        <f>"299420210526102555107269"</f>
        <v>299420210526102555107269</v>
      </c>
      <c r="C2118" s="6" t="s">
        <v>553</v>
      </c>
      <c r="D2118" s="6" t="str">
        <f>"黄向华"</f>
        <v>黄向华</v>
      </c>
      <c r="E2118" s="6" t="str">
        <f t="shared" si="69"/>
        <v>女</v>
      </c>
    </row>
    <row r="2119" spans="1:5" ht="30" customHeight="1">
      <c r="A2119" s="6">
        <v>2117</v>
      </c>
      <c r="B2119" s="6" t="str">
        <f>"299420210526102634107270"</f>
        <v>299420210526102634107270</v>
      </c>
      <c r="C2119" s="6" t="s">
        <v>553</v>
      </c>
      <c r="D2119" s="6" t="str">
        <f>"曾小晶"</f>
        <v>曾小晶</v>
      </c>
      <c r="E2119" s="6" t="str">
        <f t="shared" si="69"/>
        <v>女</v>
      </c>
    </row>
    <row r="2120" spans="1:5" ht="30" customHeight="1">
      <c r="A2120" s="6">
        <v>2118</v>
      </c>
      <c r="B2120" s="6" t="str">
        <f>"299420210526102744107276"</f>
        <v>299420210526102744107276</v>
      </c>
      <c r="C2120" s="6" t="s">
        <v>553</v>
      </c>
      <c r="D2120" s="6" t="str">
        <f>"孙菊"</f>
        <v>孙菊</v>
      </c>
      <c r="E2120" s="6" t="str">
        <f t="shared" si="69"/>
        <v>女</v>
      </c>
    </row>
    <row r="2121" spans="1:5" ht="30" customHeight="1">
      <c r="A2121" s="6">
        <v>2119</v>
      </c>
      <c r="B2121" s="6" t="str">
        <f>"299420210526103437107294"</f>
        <v>299420210526103437107294</v>
      </c>
      <c r="C2121" s="6" t="s">
        <v>553</v>
      </c>
      <c r="D2121" s="6" t="str">
        <f>"莫俊静"</f>
        <v>莫俊静</v>
      </c>
      <c r="E2121" s="6" t="str">
        <f t="shared" si="69"/>
        <v>女</v>
      </c>
    </row>
    <row r="2122" spans="1:5" ht="30" customHeight="1">
      <c r="A2122" s="6">
        <v>2120</v>
      </c>
      <c r="B2122" s="6" t="str">
        <f>"299420210526103950107305"</f>
        <v>299420210526103950107305</v>
      </c>
      <c r="C2122" s="6" t="s">
        <v>553</v>
      </c>
      <c r="D2122" s="6" t="str">
        <f>"王芊"</f>
        <v>王芊</v>
      </c>
      <c r="E2122" s="6" t="str">
        <f t="shared" si="69"/>
        <v>女</v>
      </c>
    </row>
    <row r="2123" spans="1:5" ht="30" customHeight="1">
      <c r="A2123" s="6">
        <v>2121</v>
      </c>
      <c r="B2123" s="6" t="str">
        <f>"299420210526104340107311"</f>
        <v>299420210526104340107311</v>
      </c>
      <c r="C2123" s="6" t="s">
        <v>553</v>
      </c>
      <c r="D2123" s="6" t="str">
        <f>"曾亚丽"</f>
        <v>曾亚丽</v>
      </c>
      <c r="E2123" s="6" t="str">
        <f t="shared" si="69"/>
        <v>女</v>
      </c>
    </row>
    <row r="2124" spans="1:5" ht="30" customHeight="1">
      <c r="A2124" s="6">
        <v>2122</v>
      </c>
      <c r="B2124" s="6" t="str">
        <f>"299420210526104811107317"</f>
        <v>299420210526104811107317</v>
      </c>
      <c r="C2124" s="6" t="s">
        <v>553</v>
      </c>
      <c r="D2124" s="6" t="str">
        <f>"吕诗随"</f>
        <v>吕诗随</v>
      </c>
      <c r="E2124" s="6" t="str">
        <f>"男"</f>
        <v>男</v>
      </c>
    </row>
    <row r="2125" spans="1:5" ht="30" customHeight="1">
      <c r="A2125" s="6">
        <v>2123</v>
      </c>
      <c r="B2125" s="6" t="str">
        <f>"299420210526104943107323"</f>
        <v>299420210526104943107323</v>
      </c>
      <c r="C2125" s="6" t="s">
        <v>553</v>
      </c>
      <c r="D2125" s="6" t="str">
        <f>"林小娟"</f>
        <v>林小娟</v>
      </c>
      <c r="E2125" s="6" t="str">
        <f aca="true" t="shared" si="70" ref="E2125:E2170">"女"</f>
        <v>女</v>
      </c>
    </row>
    <row r="2126" spans="1:5" ht="30" customHeight="1">
      <c r="A2126" s="6">
        <v>2124</v>
      </c>
      <c r="B2126" s="6" t="str">
        <f>"299420210526105041107327"</f>
        <v>299420210526105041107327</v>
      </c>
      <c r="C2126" s="6" t="s">
        <v>553</v>
      </c>
      <c r="D2126" s="6" t="str">
        <f>"王汝莉"</f>
        <v>王汝莉</v>
      </c>
      <c r="E2126" s="6" t="str">
        <f t="shared" si="70"/>
        <v>女</v>
      </c>
    </row>
    <row r="2127" spans="1:5" ht="30" customHeight="1">
      <c r="A2127" s="6">
        <v>2125</v>
      </c>
      <c r="B2127" s="6" t="str">
        <f>"299420210526105710107343"</f>
        <v>299420210526105710107343</v>
      </c>
      <c r="C2127" s="6" t="s">
        <v>553</v>
      </c>
      <c r="D2127" s="6" t="str">
        <f>"王来环"</f>
        <v>王来环</v>
      </c>
      <c r="E2127" s="6" t="str">
        <f t="shared" si="70"/>
        <v>女</v>
      </c>
    </row>
    <row r="2128" spans="1:5" ht="30" customHeight="1">
      <c r="A2128" s="6">
        <v>2126</v>
      </c>
      <c r="B2128" s="6" t="str">
        <f>"299420210526110329107358"</f>
        <v>299420210526110329107358</v>
      </c>
      <c r="C2128" s="6" t="s">
        <v>553</v>
      </c>
      <c r="D2128" s="6" t="str">
        <f>"朱虹霞"</f>
        <v>朱虹霞</v>
      </c>
      <c r="E2128" s="6" t="str">
        <f t="shared" si="70"/>
        <v>女</v>
      </c>
    </row>
    <row r="2129" spans="1:5" ht="30" customHeight="1">
      <c r="A2129" s="6">
        <v>2127</v>
      </c>
      <c r="B2129" s="6" t="str">
        <f>"299420210526110701107367"</f>
        <v>299420210526110701107367</v>
      </c>
      <c r="C2129" s="6" t="s">
        <v>553</v>
      </c>
      <c r="D2129" s="6" t="str">
        <f>"陈丽萍"</f>
        <v>陈丽萍</v>
      </c>
      <c r="E2129" s="6" t="str">
        <f t="shared" si="70"/>
        <v>女</v>
      </c>
    </row>
    <row r="2130" spans="1:5" ht="30" customHeight="1">
      <c r="A2130" s="6">
        <v>2128</v>
      </c>
      <c r="B2130" s="6" t="str">
        <f>"299420210526110719107368"</f>
        <v>299420210526110719107368</v>
      </c>
      <c r="C2130" s="6" t="s">
        <v>553</v>
      </c>
      <c r="D2130" s="6" t="str">
        <f>"占达星"</f>
        <v>占达星</v>
      </c>
      <c r="E2130" s="6" t="str">
        <f t="shared" si="70"/>
        <v>女</v>
      </c>
    </row>
    <row r="2131" spans="1:5" ht="30" customHeight="1">
      <c r="A2131" s="6">
        <v>2129</v>
      </c>
      <c r="B2131" s="6" t="str">
        <f>"299420210526111048107374"</f>
        <v>299420210526111048107374</v>
      </c>
      <c r="C2131" s="6" t="s">
        <v>553</v>
      </c>
      <c r="D2131" s="6" t="str">
        <f>"黄日春"</f>
        <v>黄日春</v>
      </c>
      <c r="E2131" s="6" t="str">
        <f t="shared" si="70"/>
        <v>女</v>
      </c>
    </row>
    <row r="2132" spans="1:5" ht="30" customHeight="1">
      <c r="A2132" s="6">
        <v>2130</v>
      </c>
      <c r="B2132" s="6" t="str">
        <f>"299420210526111134107376"</f>
        <v>299420210526111134107376</v>
      </c>
      <c r="C2132" s="6" t="s">
        <v>553</v>
      </c>
      <c r="D2132" s="6" t="str">
        <f>"文彩艳"</f>
        <v>文彩艳</v>
      </c>
      <c r="E2132" s="6" t="str">
        <f t="shared" si="70"/>
        <v>女</v>
      </c>
    </row>
    <row r="2133" spans="1:5" ht="30" customHeight="1">
      <c r="A2133" s="6">
        <v>2131</v>
      </c>
      <c r="B2133" s="6" t="str">
        <f>"299420210526111333107382"</f>
        <v>299420210526111333107382</v>
      </c>
      <c r="C2133" s="6" t="s">
        <v>553</v>
      </c>
      <c r="D2133" s="6" t="str">
        <f>"林琼英"</f>
        <v>林琼英</v>
      </c>
      <c r="E2133" s="6" t="str">
        <f t="shared" si="70"/>
        <v>女</v>
      </c>
    </row>
    <row r="2134" spans="1:5" ht="30" customHeight="1">
      <c r="A2134" s="6">
        <v>2132</v>
      </c>
      <c r="B2134" s="6" t="str">
        <f>"299420210526112050107397"</f>
        <v>299420210526112050107397</v>
      </c>
      <c r="C2134" s="6" t="s">
        <v>553</v>
      </c>
      <c r="D2134" s="6" t="str">
        <f>"林玉"</f>
        <v>林玉</v>
      </c>
      <c r="E2134" s="6" t="str">
        <f t="shared" si="70"/>
        <v>女</v>
      </c>
    </row>
    <row r="2135" spans="1:5" ht="30" customHeight="1">
      <c r="A2135" s="6">
        <v>2133</v>
      </c>
      <c r="B2135" s="6" t="str">
        <f>"299420210526112715107410"</f>
        <v>299420210526112715107410</v>
      </c>
      <c r="C2135" s="6" t="s">
        <v>553</v>
      </c>
      <c r="D2135" s="6" t="str">
        <f>"周亚穗"</f>
        <v>周亚穗</v>
      </c>
      <c r="E2135" s="6" t="str">
        <f t="shared" si="70"/>
        <v>女</v>
      </c>
    </row>
    <row r="2136" spans="1:5" ht="30" customHeight="1">
      <c r="A2136" s="6">
        <v>2134</v>
      </c>
      <c r="B2136" s="6" t="str">
        <f>"299420210526112757107412"</f>
        <v>299420210526112757107412</v>
      </c>
      <c r="C2136" s="6" t="s">
        <v>553</v>
      </c>
      <c r="D2136" s="6" t="str">
        <f>"吴艳萍"</f>
        <v>吴艳萍</v>
      </c>
      <c r="E2136" s="6" t="str">
        <f t="shared" si="70"/>
        <v>女</v>
      </c>
    </row>
    <row r="2137" spans="1:5" ht="30" customHeight="1">
      <c r="A2137" s="6">
        <v>2135</v>
      </c>
      <c r="B2137" s="6" t="str">
        <f>"299420210526112808107413"</f>
        <v>299420210526112808107413</v>
      </c>
      <c r="C2137" s="6" t="s">
        <v>553</v>
      </c>
      <c r="D2137" s="6" t="str">
        <f>"吴梦艳"</f>
        <v>吴梦艳</v>
      </c>
      <c r="E2137" s="6" t="str">
        <f t="shared" si="70"/>
        <v>女</v>
      </c>
    </row>
    <row r="2138" spans="1:5" ht="30" customHeight="1">
      <c r="A2138" s="6">
        <v>2136</v>
      </c>
      <c r="B2138" s="6" t="str">
        <f>"299420210526112940107414"</f>
        <v>299420210526112940107414</v>
      </c>
      <c r="C2138" s="6" t="s">
        <v>553</v>
      </c>
      <c r="D2138" s="6" t="str">
        <f>"王小丹"</f>
        <v>王小丹</v>
      </c>
      <c r="E2138" s="6" t="str">
        <f t="shared" si="70"/>
        <v>女</v>
      </c>
    </row>
    <row r="2139" spans="1:5" ht="30" customHeight="1">
      <c r="A2139" s="6">
        <v>2137</v>
      </c>
      <c r="B2139" s="6" t="str">
        <f>"299420210526113356107422"</f>
        <v>299420210526113356107422</v>
      </c>
      <c r="C2139" s="6" t="s">
        <v>553</v>
      </c>
      <c r="D2139" s="6" t="str">
        <f>"周海丽"</f>
        <v>周海丽</v>
      </c>
      <c r="E2139" s="6" t="str">
        <f t="shared" si="70"/>
        <v>女</v>
      </c>
    </row>
    <row r="2140" spans="1:5" ht="30" customHeight="1">
      <c r="A2140" s="6">
        <v>2138</v>
      </c>
      <c r="B2140" s="6" t="str">
        <f>"299420210526114328107440"</f>
        <v>299420210526114328107440</v>
      </c>
      <c r="C2140" s="6" t="s">
        <v>553</v>
      </c>
      <c r="D2140" s="6" t="str">
        <f>"袁梦杰"</f>
        <v>袁梦杰</v>
      </c>
      <c r="E2140" s="6" t="str">
        <f t="shared" si="70"/>
        <v>女</v>
      </c>
    </row>
    <row r="2141" spans="1:5" ht="30" customHeight="1">
      <c r="A2141" s="6">
        <v>2139</v>
      </c>
      <c r="B2141" s="6" t="str">
        <f>"299420210526114510107445"</f>
        <v>299420210526114510107445</v>
      </c>
      <c r="C2141" s="6" t="s">
        <v>553</v>
      </c>
      <c r="D2141" s="6" t="str">
        <f>"林雪莉"</f>
        <v>林雪莉</v>
      </c>
      <c r="E2141" s="6" t="str">
        <f t="shared" si="70"/>
        <v>女</v>
      </c>
    </row>
    <row r="2142" spans="1:5" ht="30" customHeight="1">
      <c r="A2142" s="6">
        <v>2140</v>
      </c>
      <c r="B2142" s="6" t="str">
        <f>"299420210526114553107446"</f>
        <v>299420210526114553107446</v>
      </c>
      <c r="C2142" s="6" t="s">
        <v>553</v>
      </c>
      <c r="D2142" s="6" t="str">
        <f>"黄杨棠"</f>
        <v>黄杨棠</v>
      </c>
      <c r="E2142" s="6" t="str">
        <f t="shared" si="70"/>
        <v>女</v>
      </c>
    </row>
    <row r="2143" spans="1:5" ht="30" customHeight="1">
      <c r="A2143" s="6">
        <v>2141</v>
      </c>
      <c r="B2143" s="6" t="str">
        <f>"299420210526121723107500"</f>
        <v>299420210526121723107500</v>
      </c>
      <c r="C2143" s="6" t="s">
        <v>553</v>
      </c>
      <c r="D2143" s="6" t="str">
        <f>"林鑫"</f>
        <v>林鑫</v>
      </c>
      <c r="E2143" s="6" t="str">
        <f t="shared" si="70"/>
        <v>女</v>
      </c>
    </row>
    <row r="2144" spans="1:5" ht="30" customHeight="1">
      <c r="A2144" s="6">
        <v>2142</v>
      </c>
      <c r="B2144" s="6" t="str">
        <f>"299420210526125103107579"</f>
        <v>299420210526125103107579</v>
      </c>
      <c r="C2144" s="6" t="s">
        <v>553</v>
      </c>
      <c r="D2144" s="6" t="str">
        <f>"吴春恋"</f>
        <v>吴春恋</v>
      </c>
      <c r="E2144" s="6" t="str">
        <f t="shared" si="70"/>
        <v>女</v>
      </c>
    </row>
    <row r="2145" spans="1:5" ht="30" customHeight="1">
      <c r="A2145" s="6">
        <v>2143</v>
      </c>
      <c r="B2145" s="6" t="str">
        <f>"299420210526125353107587"</f>
        <v>299420210526125353107587</v>
      </c>
      <c r="C2145" s="6" t="s">
        <v>553</v>
      </c>
      <c r="D2145" s="6" t="str">
        <f>"陈金玉"</f>
        <v>陈金玉</v>
      </c>
      <c r="E2145" s="6" t="str">
        <f t="shared" si="70"/>
        <v>女</v>
      </c>
    </row>
    <row r="2146" spans="1:5" ht="30" customHeight="1">
      <c r="A2146" s="6">
        <v>2144</v>
      </c>
      <c r="B2146" s="6" t="str">
        <f>"299420210526125407107588"</f>
        <v>299420210526125407107588</v>
      </c>
      <c r="C2146" s="6" t="s">
        <v>553</v>
      </c>
      <c r="D2146" s="6" t="str">
        <f>"陈婷"</f>
        <v>陈婷</v>
      </c>
      <c r="E2146" s="6" t="str">
        <f t="shared" si="70"/>
        <v>女</v>
      </c>
    </row>
    <row r="2147" spans="1:5" ht="30" customHeight="1">
      <c r="A2147" s="6">
        <v>2145</v>
      </c>
      <c r="B2147" s="6" t="str">
        <f>"299420210526130844107626"</f>
        <v>299420210526130844107626</v>
      </c>
      <c r="C2147" s="6" t="s">
        <v>553</v>
      </c>
      <c r="D2147" s="6" t="str">
        <f>"何津源"</f>
        <v>何津源</v>
      </c>
      <c r="E2147" s="6" t="str">
        <f t="shared" si="70"/>
        <v>女</v>
      </c>
    </row>
    <row r="2148" spans="1:5" ht="30" customHeight="1">
      <c r="A2148" s="6">
        <v>2146</v>
      </c>
      <c r="B2148" s="6" t="str">
        <f>"299420210526131455107631"</f>
        <v>299420210526131455107631</v>
      </c>
      <c r="C2148" s="6" t="s">
        <v>553</v>
      </c>
      <c r="D2148" s="6" t="str">
        <f>"郭坤女"</f>
        <v>郭坤女</v>
      </c>
      <c r="E2148" s="6" t="str">
        <f t="shared" si="70"/>
        <v>女</v>
      </c>
    </row>
    <row r="2149" spans="1:5" ht="30" customHeight="1">
      <c r="A2149" s="6">
        <v>2147</v>
      </c>
      <c r="B2149" s="6" t="str">
        <f>"299420210526132915107642"</f>
        <v>299420210526132915107642</v>
      </c>
      <c r="C2149" s="6" t="s">
        <v>553</v>
      </c>
      <c r="D2149" s="6" t="str">
        <f>"杨千"</f>
        <v>杨千</v>
      </c>
      <c r="E2149" s="6" t="str">
        <f t="shared" si="70"/>
        <v>女</v>
      </c>
    </row>
    <row r="2150" spans="1:5" ht="30" customHeight="1">
      <c r="A2150" s="6">
        <v>2148</v>
      </c>
      <c r="B2150" s="6" t="str">
        <f>"299420210526133013107644"</f>
        <v>299420210526133013107644</v>
      </c>
      <c r="C2150" s="6" t="s">
        <v>553</v>
      </c>
      <c r="D2150" s="6" t="str">
        <f>"韩翠芳"</f>
        <v>韩翠芳</v>
      </c>
      <c r="E2150" s="6" t="str">
        <f t="shared" si="70"/>
        <v>女</v>
      </c>
    </row>
    <row r="2151" spans="1:5" ht="30" customHeight="1">
      <c r="A2151" s="6">
        <v>2149</v>
      </c>
      <c r="B2151" s="6" t="str">
        <f>"299420210526141508107670"</f>
        <v>299420210526141508107670</v>
      </c>
      <c r="C2151" s="6" t="s">
        <v>553</v>
      </c>
      <c r="D2151" s="6" t="str">
        <f>"何洁仪"</f>
        <v>何洁仪</v>
      </c>
      <c r="E2151" s="6" t="str">
        <f t="shared" si="70"/>
        <v>女</v>
      </c>
    </row>
    <row r="2152" spans="1:5" ht="30" customHeight="1">
      <c r="A2152" s="6">
        <v>2150</v>
      </c>
      <c r="B2152" s="6" t="str">
        <f>"299420210526143848107690"</f>
        <v>299420210526143848107690</v>
      </c>
      <c r="C2152" s="6" t="s">
        <v>553</v>
      </c>
      <c r="D2152" s="6" t="str">
        <f>"曾环"</f>
        <v>曾环</v>
      </c>
      <c r="E2152" s="6" t="str">
        <f t="shared" si="70"/>
        <v>女</v>
      </c>
    </row>
    <row r="2153" spans="1:5" ht="30" customHeight="1">
      <c r="A2153" s="6">
        <v>2151</v>
      </c>
      <c r="B2153" s="6" t="str">
        <f>"299420210526144423107699"</f>
        <v>299420210526144423107699</v>
      </c>
      <c r="C2153" s="6" t="s">
        <v>553</v>
      </c>
      <c r="D2153" s="6" t="str">
        <f>"谢秀明"</f>
        <v>谢秀明</v>
      </c>
      <c r="E2153" s="6" t="str">
        <f t="shared" si="70"/>
        <v>女</v>
      </c>
    </row>
    <row r="2154" spans="1:5" ht="30" customHeight="1">
      <c r="A2154" s="6">
        <v>2152</v>
      </c>
      <c r="B2154" s="6" t="str">
        <f>"299420210526145042107710"</f>
        <v>299420210526145042107710</v>
      </c>
      <c r="C2154" s="6" t="s">
        <v>553</v>
      </c>
      <c r="D2154" s="6" t="str">
        <f>"李再"</f>
        <v>李再</v>
      </c>
      <c r="E2154" s="6" t="str">
        <f t="shared" si="70"/>
        <v>女</v>
      </c>
    </row>
    <row r="2155" spans="1:5" ht="30" customHeight="1">
      <c r="A2155" s="6">
        <v>2153</v>
      </c>
      <c r="B2155" s="6" t="str">
        <f>"299420210526145108107713"</f>
        <v>299420210526145108107713</v>
      </c>
      <c r="C2155" s="6" t="s">
        <v>553</v>
      </c>
      <c r="D2155" s="6" t="str">
        <f>"蔡文静"</f>
        <v>蔡文静</v>
      </c>
      <c r="E2155" s="6" t="str">
        <f t="shared" si="70"/>
        <v>女</v>
      </c>
    </row>
    <row r="2156" spans="1:5" ht="30" customHeight="1">
      <c r="A2156" s="6">
        <v>2154</v>
      </c>
      <c r="B2156" s="6" t="str">
        <f>"299420210526145220107715"</f>
        <v>299420210526145220107715</v>
      </c>
      <c r="C2156" s="6" t="s">
        <v>553</v>
      </c>
      <c r="D2156" s="6" t="str">
        <f>"邢丽君"</f>
        <v>邢丽君</v>
      </c>
      <c r="E2156" s="6" t="str">
        <f t="shared" si="70"/>
        <v>女</v>
      </c>
    </row>
    <row r="2157" spans="1:5" ht="30" customHeight="1">
      <c r="A2157" s="6">
        <v>2155</v>
      </c>
      <c r="B2157" s="6" t="str">
        <f>"299420210526145731107724"</f>
        <v>299420210526145731107724</v>
      </c>
      <c r="C2157" s="6" t="s">
        <v>553</v>
      </c>
      <c r="D2157" s="6" t="str">
        <f>"张蕾"</f>
        <v>张蕾</v>
      </c>
      <c r="E2157" s="6" t="str">
        <f t="shared" si="70"/>
        <v>女</v>
      </c>
    </row>
    <row r="2158" spans="1:5" ht="30" customHeight="1">
      <c r="A2158" s="6">
        <v>2156</v>
      </c>
      <c r="B2158" s="6" t="str">
        <f>"299420210526150517107738"</f>
        <v>299420210526150517107738</v>
      </c>
      <c r="C2158" s="6" t="s">
        <v>553</v>
      </c>
      <c r="D2158" s="6" t="str">
        <f>"李三梅"</f>
        <v>李三梅</v>
      </c>
      <c r="E2158" s="6" t="str">
        <f t="shared" si="70"/>
        <v>女</v>
      </c>
    </row>
    <row r="2159" spans="1:5" ht="30" customHeight="1">
      <c r="A2159" s="6">
        <v>2157</v>
      </c>
      <c r="B2159" s="6" t="str">
        <f>"299420210526150927107747"</f>
        <v>299420210526150927107747</v>
      </c>
      <c r="C2159" s="6" t="s">
        <v>553</v>
      </c>
      <c r="D2159" s="6" t="str">
        <f>"符香川"</f>
        <v>符香川</v>
      </c>
      <c r="E2159" s="6" t="str">
        <f t="shared" si="70"/>
        <v>女</v>
      </c>
    </row>
    <row r="2160" spans="1:5" ht="30" customHeight="1">
      <c r="A2160" s="6">
        <v>2158</v>
      </c>
      <c r="B2160" s="6" t="str">
        <f>"299420210526151350107761"</f>
        <v>299420210526151350107761</v>
      </c>
      <c r="C2160" s="6" t="s">
        <v>553</v>
      </c>
      <c r="D2160" s="6" t="str">
        <f>"许岸"</f>
        <v>许岸</v>
      </c>
      <c r="E2160" s="6" t="str">
        <f t="shared" si="70"/>
        <v>女</v>
      </c>
    </row>
    <row r="2161" spans="1:5" ht="30" customHeight="1">
      <c r="A2161" s="6">
        <v>2159</v>
      </c>
      <c r="B2161" s="6" t="str">
        <f>"299420210526151535107763"</f>
        <v>299420210526151535107763</v>
      </c>
      <c r="C2161" s="6" t="s">
        <v>553</v>
      </c>
      <c r="D2161" s="6" t="str">
        <f>"云惠敏"</f>
        <v>云惠敏</v>
      </c>
      <c r="E2161" s="6" t="str">
        <f t="shared" si="70"/>
        <v>女</v>
      </c>
    </row>
    <row r="2162" spans="1:5" ht="30" customHeight="1">
      <c r="A2162" s="6">
        <v>2160</v>
      </c>
      <c r="B2162" s="6" t="str">
        <f>"299420210526153359107790"</f>
        <v>299420210526153359107790</v>
      </c>
      <c r="C2162" s="6" t="s">
        <v>553</v>
      </c>
      <c r="D2162" s="6" t="str">
        <f>"邓慧"</f>
        <v>邓慧</v>
      </c>
      <c r="E2162" s="6" t="str">
        <f t="shared" si="70"/>
        <v>女</v>
      </c>
    </row>
    <row r="2163" spans="1:5" ht="30" customHeight="1">
      <c r="A2163" s="6">
        <v>2161</v>
      </c>
      <c r="B2163" s="6" t="str">
        <f>"299420210526153939107806"</f>
        <v>299420210526153939107806</v>
      </c>
      <c r="C2163" s="6" t="s">
        <v>553</v>
      </c>
      <c r="D2163" s="6" t="str">
        <f>"杜少仁"</f>
        <v>杜少仁</v>
      </c>
      <c r="E2163" s="6" t="str">
        <f t="shared" si="70"/>
        <v>女</v>
      </c>
    </row>
    <row r="2164" spans="1:5" ht="30" customHeight="1">
      <c r="A2164" s="6">
        <v>2162</v>
      </c>
      <c r="B2164" s="6" t="str">
        <f>"299420210526155032107829"</f>
        <v>299420210526155032107829</v>
      </c>
      <c r="C2164" s="6" t="s">
        <v>553</v>
      </c>
      <c r="D2164" s="6" t="str">
        <f>"许汝萍"</f>
        <v>许汝萍</v>
      </c>
      <c r="E2164" s="6" t="str">
        <f t="shared" si="70"/>
        <v>女</v>
      </c>
    </row>
    <row r="2165" spans="1:5" ht="30" customHeight="1">
      <c r="A2165" s="6">
        <v>2163</v>
      </c>
      <c r="B2165" s="6" t="str">
        <f>"299420210526161826107897"</f>
        <v>299420210526161826107897</v>
      </c>
      <c r="C2165" s="6" t="s">
        <v>553</v>
      </c>
      <c r="D2165" s="6" t="str">
        <f>"林晓晓"</f>
        <v>林晓晓</v>
      </c>
      <c r="E2165" s="6" t="str">
        <f t="shared" si="70"/>
        <v>女</v>
      </c>
    </row>
    <row r="2166" spans="1:5" ht="30" customHeight="1">
      <c r="A2166" s="6">
        <v>2164</v>
      </c>
      <c r="B2166" s="6" t="str">
        <f>"299420210526163517107923"</f>
        <v>299420210526163517107923</v>
      </c>
      <c r="C2166" s="6" t="s">
        <v>553</v>
      </c>
      <c r="D2166" s="6" t="str">
        <f>"戚小娜"</f>
        <v>戚小娜</v>
      </c>
      <c r="E2166" s="6" t="str">
        <f t="shared" si="70"/>
        <v>女</v>
      </c>
    </row>
    <row r="2167" spans="1:5" ht="30" customHeight="1">
      <c r="A2167" s="6">
        <v>2165</v>
      </c>
      <c r="B2167" s="6" t="str">
        <f>"299420210526164518107942"</f>
        <v>299420210526164518107942</v>
      </c>
      <c r="C2167" s="6" t="s">
        <v>553</v>
      </c>
      <c r="D2167" s="6" t="str">
        <f>"陈柯文"</f>
        <v>陈柯文</v>
      </c>
      <c r="E2167" s="6" t="str">
        <f t="shared" si="70"/>
        <v>女</v>
      </c>
    </row>
    <row r="2168" spans="1:5" ht="30" customHeight="1">
      <c r="A2168" s="6">
        <v>2166</v>
      </c>
      <c r="B2168" s="6" t="str">
        <f>"299420210526171718108003"</f>
        <v>299420210526171718108003</v>
      </c>
      <c r="C2168" s="6" t="s">
        <v>553</v>
      </c>
      <c r="D2168" s="6" t="str">
        <f>"文坤妍"</f>
        <v>文坤妍</v>
      </c>
      <c r="E2168" s="6" t="str">
        <f t="shared" si="70"/>
        <v>女</v>
      </c>
    </row>
    <row r="2169" spans="1:5" ht="30" customHeight="1">
      <c r="A2169" s="6">
        <v>2167</v>
      </c>
      <c r="B2169" s="6" t="str">
        <f>"299420210526172256108012"</f>
        <v>299420210526172256108012</v>
      </c>
      <c r="C2169" s="6" t="s">
        <v>553</v>
      </c>
      <c r="D2169" s="6" t="str">
        <f>"羊高联"</f>
        <v>羊高联</v>
      </c>
      <c r="E2169" s="6" t="str">
        <f t="shared" si="70"/>
        <v>女</v>
      </c>
    </row>
    <row r="2170" spans="1:5" ht="30" customHeight="1">
      <c r="A2170" s="6">
        <v>2168</v>
      </c>
      <c r="B2170" s="6" t="str">
        <f>"299420210526172515108018"</f>
        <v>299420210526172515108018</v>
      </c>
      <c r="C2170" s="6" t="s">
        <v>553</v>
      </c>
      <c r="D2170" s="6" t="str">
        <f>"赖美圆"</f>
        <v>赖美圆</v>
      </c>
      <c r="E2170" s="6" t="str">
        <f t="shared" si="70"/>
        <v>女</v>
      </c>
    </row>
    <row r="2171" spans="1:5" ht="30" customHeight="1">
      <c r="A2171" s="6">
        <v>2169</v>
      </c>
      <c r="B2171" s="6" t="str">
        <f>"299420210526173130108028"</f>
        <v>299420210526173130108028</v>
      </c>
      <c r="C2171" s="6" t="s">
        <v>553</v>
      </c>
      <c r="D2171" s="6" t="str">
        <f>"韦一集"</f>
        <v>韦一集</v>
      </c>
      <c r="E2171" s="6" t="str">
        <f>"男"</f>
        <v>男</v>
      </c>
    </row>
    <row r="2172" spans="1:5" ht="30" customHeight="1">
      <c r="A2172" s="6">
        <v>2170</v>
      </c>
      <c r="B2172" s="6" t="str">
        <f>"299420210526173939108043"</f>
        <v>299420210526173939108043</v>
      </c>
      <c r="C2172" s="6" t="s">
        <v>553</v>
      </c>
      <c r="D2172" s="6" t="str">
        <f>"张茹"</f>
        <v>张茹</v>
      </c>
      <c r="E2172" s="6" t="str">
        <f aca="true" t="shared" si="71" ref="E2172:E2178">"女"</f>
        <v>女</v>
      </c>
    </row>
    <row r="2173" spans="1:5" ht="30" customHeight="1">
      <c r="A2173" s="6">
        <v>2171</v>
      </c>
      <c r="B2173" s="6" t="str">
        <f>"299420210526175440108064"</f>
        <v>299420210526175440108064</v>
      </c>
      <c r="C2173" s="6" t="s">
        <v>553</v>
      </c>
      <c r="D2173" s="6" t="str">
        <f>"郑燕妗"</f>
        <v>郑燕妗</v>
      </c>
      <c r="E2173" s="6" t="str">
        <f t="shared" si="71"/>
        <v>女</v>
      </c>
    </row>
    <row r="2174" spans="1:5" ht="30" customHeight="1">
      <c r="A2174" s="6">
        <v>2172</v>
      </c>
      <c r="B2174" s="6" t="str">
        <f>"299420210526175555108066"</f>
        <v>299420210526175555108066</v>
      </c>
      <c r="C2174" s="6" t="s">
        <v>553</v>
      </c>
      <c r="D2174" s="6" t="str">
        <f>"池景华"</f>
        <v>池景华</v>
      </c>
      <c r="E2174" s="6" t="str">
        <f t="shared" si="71"/>
        <v>女</v>
      </c>
    </row>
    <row r="2175" spans="1:5" ht="30" customHeight="1">
      <c r="A2175" s="6">
        <v>2173</v>
      </c>
      <c r="B2175" s="6" t="str">
        <f>"299420210526175816108071"</f>
        <v>299420210526175816108071</v>
      </c>
      <c r="C2175" s="6" t="s">
        <v>553</v>
      </c>
      <c r="D2175" s="6" t="str">
        <f>"陈小丽"</f>
        <v>陈小丽</v>
      </c>
      <c r="E2175" s="6" t="str">
        <f t="shared" si="71"/>
        <v>女</v>
      </c>
    </row>
    <row r="2176" spans="1:5" ht="30" customHeight="1">
      <c r="A2176" s="6">
        <v>2174</v>
      </c>
      <c r="B2176" s="6" t="str">
        <f>"299420210526175949108074"</f>
        <v>299420210526175949108074</v>
      </c>
      <c r="C2176" s="6" t="s">
        <v>553</v>
      </c>
      <c r="D2176" s="6" t="str">
        <f>"庄惠云"</f>
        <v>庄惠云</v>
      </c>
      <c r="E2176" s="6" t="str">
        <f t="shared" si="71"/>
        <v>女</v>
      </c>
    </row>
    <row r="2177" spans="1:5" ht="30" customHeight="1">
      <c r="A2177" s="6">
        <v>2175</v>
      </c>
      <c r="B2177" s="6" t="str">
        <f>"299420210526180028108075"</f>
        <v>299420210526180028108075</v>
      </c>
      <c r="C2177" s="6" t="s">
        <v>553</v>
      </c>
      <c r="D2177" s="6" t="str">
        <f>"罗孔玲"</f>
        <v>罗孔玲</v>
      </c>
      <c r="E2177" s="6" t="str">
        <f t="shared" si="71"/>
        <v>女</v>
      </c>
    </row>
    <row r="2178" spans="1:5" ht="30" customHeight="1">
      <c r="A2178" s="6">
        <v>2176</v>
      </c>
      <c r="B2178" s="6" t="str">
        <f>"299420210526180424108080"</f>
        <v>299420210526180424108080</v>
      </c>
      <c r="C2178" s="6" t="s">
        <v>553</v>
      </c>
      <c r="D2178" s="6" t="str">
        <f>"陈春平"</f>
        <v>陈春平</v>
      </c>
      <c r="E2178" s="6" t="str">
        <f t="shared" si="71"/>
        <v>女</v>
      </c>
    </row>
    <row r="2179" spans="1:5" ht="30" customHeight="1">
      <c r="A2179" s="6">
        <v>2177</v>
      </c>
      <c r="B2179" s="6" t="str">
        <f>"299420210526181334108099"</f>
        <v>299420210526181334108099</v>
      </c>
      <c r="C2179" s="6" t="s">
        <v>553</v>
      </c>
      <c r="D2179" s="6" t="str">
        <f>"吴培君"</f>
        <v>吴培君</v>
      </c>
      <c r="E2179" s="6" t="str">
        <f>"男"</f>
        <v>男</v>
      </c>
    </row>
    <row r="2180" spans="1:5" ht="30" customHeight="1">
      <c r="A2180" s="6">
        <v>2178</v>
      </c>
      <c r="B2180" s="6" t="str">
        <f>"299420210526181347108100"</f>
        <v>299420210526181347108100</v>
      </c>
      <c r="C2180" s="6" t="s">
        <v>553</v>
      </c>
      <c r="D2180" s="6" t="str">
        <f>"陈少霞"</f>
        <v>陈少霞</v>
      </c>
      <c r="E2180" s="6" t="str">
        <f aca="true" t="shared" si="72" ref="E2180:E2186">"女"</f>
        <v>女</v>
      </c>
    </row>
    <row r="2181" spans="1:5" ht="30" customHeight="1">
      <c r="A2181" s="6">
        <v>2179</v>
      </c>
      <c r="B2181" s="6" t="str">
        <f>"299420210526182400108119"</f>
        <v>299420210526182400108119</v>
      </c>
      <c r="C2181" s="6" t="s">
        <v>553</v>
      </c>
      <c r="D2181" s="6" t="str">
        <f>"伍显艺"</f>
        <v>伍显艺</v>
      </c>
      <c r="E2181" s="6" t="str">
        <f t="shared" si="72"/>
        <v>女</v>
      </c>
    </row>
    <row r="2182" spans="1:5" ht="30" customHeight="1">
      <c r="A2182" s="6">
        <v>2180</v>
      </c>
      <c r="B2182" s="6" t="str">
        <f>"299420210526182808108128"</f>
        <v>299420210526182808108128</v>
      </c>
      <c r="C2182" s="6" t="s">
        <v>553</v>
      </c>
      <c r="D2182" s="6" t="str">
        <f>"李姑"</f>
        <v>李姑</v>
      </c>
      <c r="E2182" s="6" t="str">
        <f t="shared" si="72"/>
        <v>女</v>
      </c>
    </row>
    <row r="2183" spans="1:5" ht="30" customHeight="1">
      <c r="A2183" s="6">
        <v>2181</v>
      </c>
      <c r="B2183" s="6" t="str">
        <f>"299420210526185959108183"</f>
        <v>299420210526185959108183</v>
      </c>
      <c r="C2183" s="6" t="s">
        <v>553</v>
      </c>
      <c r="D2183" s="6" t="str">
        <f>"王丹"</f>
        <v>王丹</v>
      </c>
      <c r="E2183" s="6" t="str">
        <f t="shared" si="72"/>
        <v>女</v>
      </c>
    </row>
    <row r="2184" spans="1:5" ht="30" customHeight="1">
      <c r="A2184" s="6">
        <v>2182</v>
      </c>
      <c r="B2184" s="6" t="str">
        <f>"299420210526190038108184"</f>
        <v>299420210526190038108184</v>
      </c>
      <c r="C2184" s="6" t="s">
        <v>553</v>
      </c>
      <c r="D2184" s="6" t="str">
        <f>"周美娇"</f>
        <v>周美娇</v>
      </c>
      <c r="E2184" s="6" t="str">
        <f t="shared" si="72"/>
        <v>女</v>
      </c>
    </row>
    <row r="2185" spans="1:5" ht="30" customHeight="1">
      <c r="A2185" s="6">
        <v>2183</v>
      </c>
      <c r="B2185" s="6" t="str">
        <f>"299420210526192239108216"</f>
        <v>299420210526192239108216</v>
      </c>
      <c r="C2185" s="6" t="s">
        <v>553</v>
      </c>
      <c r="D2185" s="6" t="str">
        <f>"王小翠"</f>
        <v>王小翠</v>
      </c>
      <c r="E2185" s="6" t="str">
        <f t="shared" si="72"/>
        <v>女</v>
      </c>
    </row>
    <row r="2186" spans="1:5" ht="30" customHeight="1">
      <c r="A2186" s="6">
        <v>2184</v>
      </c>
      <c r="B2186" s="6" t="str">
        <f>"299420210526192303108217"</f>
        <v>299420210526192303108217</v>
      </c>
      <c r="C2186" s="6" t="s">
        <v>553</v>
      </c>
      <c r="D2186" s="6" t="str">
        <f>"王芳"</f>
        <v>王芳</v>
      </c>
      <c r="E2186" s="6" t="str">
        <f t="shared" si="72"/>
        <v>女</v>
      </c>
    </row>
    <row r="2187" spans="1:5" ht="30" customHeight="1">
      <c r="A2187" s="6">
        <v>2185</v>
      </c>
      <c r="B2187" s="6" t="str">
        <f>"299420210526192411108218"</f>
        <v>299420210526192411108218</v>
      </c>
      <c r="C2187" s="6" t="s">
        <v>553</v>
      </c>
      <c r="D2187" s="6" t="str">
        <f>"王伟"</f>
        <v>王伟</v>
      </c>
      <c r="E2187" s="6" t="str">
        <f>"男"</f>
        <v>男</v>
      </c>
    </row>
    <row r="2188" spans="1:5" ht="30" customHeight="1">
      <c r="A2188" s="6">
        <v>2186</v>
      </c>
      <c r="B2188" s="6" t="str">
        <f>"299420210526192911108223"</f>
        <v>299420210526192911108223</v>
      </c>
      <c r="C2188" s="6" t="s">
        <v>553</v>
      </c>
      <c r="D2188" s="6" t="str">
        <f>"许英娜"</f>
        <v>许英娜</v>
      </c>
      <c r="E2188" s="6" t="str">
        <f>"女"</f>
        <v>女</v>
      </c>
    </row>
    <row r="2189" spans="1:5" ht="30" customHeight="1">
      <c r="A2189" s="6">
        <v>2187</v>
      </c>
      <c r="B2189" s="6" t="str">
        <f>"299420210526193635108236"</f>
        <v>299420210526193635108236</v>
      </c>
      <c r="C2189" s="6" t="s">
        <v>553</v>
      </c>
      <c r="D2189" s="6" t="str">
        <f>"舒宗雪"</f>
        <v>舒宗雪</v>
      </c>
      <c r="E2189" s="6" t="str">
        <f>"女"</f>
        <v>女</v>
      </c>
    </row>
    <row r="2190" spans="1:5" ht="30" customHeight="1">
      <c r="A2190" s="6">
        <v>2188</v>
      </c>
      <c r="B2190" s="6" t="str">
        <f>"299420210526193929108243"</f>
        <v>299420210526193929108243</v>
      </c>
      <c r="C2190" s="6" t="s">
        <v>553</v>
      </c>
      <c r="D2190" s="6" t="str">
        <f>"李秋灵"</f>
        <v>李秋灵</v>
      </c>
      <c r="E2190" s="6" t="str">
        <f>"女"</f>
        <v>女</v>
      </c>
    </row>
    <row r="2191" spans="1:5" ht="30" customHeight="1">
      <c r="A2191" s="6">
        <v>2189</v>
      </c>
      <c r="B2191" s="6" t="str">
        <f>"299420210526194417108254"</f>
        <v>299420210526194417108254</v>
      </c>
      <c r="C2191" s="6" t="s">
        <v>553</v>
      </c>
      <c r="D2191" s="6" t="str">
        <f>"曾允荼"</f>
        <v>曾允荼</v>
      </c>
      <c r="E2191" s="6" t="str">
        <f>"女"</f>
        <v>女</v>
      </c>
    </row>
    <row r="2192" spans="1:5" ht="30" customHeight="1">
      <c r="A2192" s="6">
        <v>2190</v>
      </c>
      <c r="B2192" s="6" t="str">
        <f>"299420210526195359108268"</f>
        <v>299420210526195359108268</v>
      </c>
      <c r="C2192" s="6" t="s">
        <v>553</v>
      </c>
      <c r="D2192" s="6" t="str">
        <f>"廖俊辉"</f>
        <v>廖俊辉</v>
      </c>
      <c r="E2192" s="6" t="str">
        <f>"男"</f>
        <v>男</v>
      </c>
    </row>
    <row r="2193" spans="1:5" ht="30" customHeight="1">
      <c r="A2193" s="6">
        <v>2191</v>
      </c>
      <c r="B2193" s="6" t="str">
        <f>"299420210526200939108300"</f>
        <v>299420210526200939108300</v>
      </c>
      <c r="C2193" s="6" t="s">
        <v>553</v>
      </c>
      <c r="D2193" s="6" t="str">
        <f>"陈茹"</f>
        <v>陈茹</v>
      </c>
      <c r="E2193" s="6" t="str">
        <f aca="true" t="shared" si="73" ref="E2193:E2204">"女"</f>
        <v>女</v>
      </c>
    </row>
    <row r="2194" spans="1:5" ht="30" customHeight="1">
      <c r="A2194" s="6">
        <v>2192</v>
      </c>
      <c r="B2194" s="6" t="str">
        <f>"299420210526203620108347"</f>
        <v>299420210526203620108347</v>
      </c>
      <c r="C2194" s="6" t="s">
        <v>553</v>
      </c>
      <c r="D2194" s="6" t="str">
        <f>"莫兰玉"</f>
        <v>莫兰玉</v>
      </c>
      <c r="E2194" s="6" t="str">
        <f t="shared" si="73"/>
        <v>女</v>
      </c>
    </row>
    <row r="2195" spans="1:5" ht="30" customHeight="1">
      <c r="A2195" s="6">
        <v>2193</v>
      </c>
      <c r="B2195" s="6" t="str">
        <f>"299420210526204123108359"</f>
        <v>299420210526204123108359</v>
      </c>
      <c r="C2195" s="6" t="s">
        <v>553</v>
      </c>
      <c r="D2195" s="6" t="str">
        <f>"黄艳"</f>
        <v>黄艳</v>
      </c>
      <c r="E2195" s="6" t="str">
        <f t="shared" si="73"/>
        <v>女</v>
      </c>
    </row>
    <row r="2196" spans="1:5" ht="30" customHeight="1">
      <c r="A2196" s="6">
        <v>2194</v>
      </c>
      <c r="B2196" s="6" t="str">
        <f>"299420210526204908108370"</f>
        <v>299420210526204908108370</v>
      </c>
      <c r="C2196" s="6" t="s">
        <v>553</v>
      </c>
      <c r="D2196" s="6" t="str">
        <f>"王雪米"</f>
        <v>王雪米</v>
      </c>
      <c r="E2196" s="6" t="str">
        <f t="shared" si="73"/>
        <v>女</v>
      </c>
    </row>
    <row r="2197" spans="1:5" ht="30" customHeight="1">
      <c r="A2197" s="6">
        <v>2195</v>
      </c>
      <c r="B2197" s="6" t="str">
        <f>"299420210526205859108391"</f>
        <v>299420210526205859108391</v>
      </c>
      <c r="C2197" s="6" t="s">
        <v>553</v>
      </c>
      <c r="D2197" s="6" t="str">
        <f>"祝娇艳"</f>
        <v>祝娇艳</v>
      </c>
      <c r="E2197" s="6" t="str">
        <f t="shared" si="73"/>
        <v>女</v>
      </c>
    </row>
    <row r="2198" spans="1:5" ht="30" customHeight="1">
      <c r="A2198" s="6">
        <v>2196</v>
      </c>
      <c r="B2198" s="6" t="str">
        <f>"299420210526205919108392"</f>
        <v>299420210526205919108392</v>
      </c>
      <c r="C2198" s="6" t="s">
        <v>553</v>
      </c>
      <c r="D2198" s="6" t="str">
        <f>"王丽燕"</f>
        <v>王丽燕</v>
      </c>
      <c r="E2198" s="6" t="str">
        <f t="shared" si="73"/>
        <v>女</v>
      </c>
    </row>
    <row r="2199" spans="1:5" ht="30" customHeight="1">
      <c r="A2199" s="6">
        <v>2197</v>
      </c>
      <c r="B2199" s="6" t="str">
        <f>"299420210526210910108411"</f>
        <v>299420210526210910108411</v>
      </c>
      <c r="C2199" s="6" t="s">
        <v>553</v>
      </c>
      <c r="D2199" s="6" t="str">
        <f>"吴英榕"</f>
        <v>吴英榕</v>
      </c>
      <c r="E2199" s="6" t="str">
        <f t="shared" si="73"/>
        <v>女</v>
      </c>
    </row>
    <row r="2200" spans="1:5" ht="30" customHeight="1">
      <c r="A2200" s="6">
        <v>2198</v>
      </c>
      <c r="B2200" s="6" t="str">
        <f>"299420210526211006108418"</f>
        <v>299420210526211006108418</v>
      </c>
      <c r="C2200" s="6" t="s">
        <v>553</v>
      </c>
      <c r="D2200" s="6" t="str">
        <f>"谢成玲"</f>
        <v>谢成玲</v>
      </c>
      <c r="E2200" s="6" t="str">
        <f t="shared" si="73"/>
        <v>女</v>
      </c>
    </row>
    <row r="2201" spans="1:5" ht="30" customHeight="1">
      <c r="A2201" s="6">
        <v>2199</v>
      </c>
      <c r="B2201" s="6" t="str">
        <f>"299420210526211333108431"</f>
        <v>299420210526211333108431</v>
      </c>
      <c r="C2201" s="6" t="s">
        <v>553</v>
      </c>
      <c r="D2201" s="6" t="str">
        <f>"蔡佳楠"</f>
        <v>蔡佳楠</v>
      </c>
      <c r="E2201" s="6" t="str">
        <f t="shared" si="73"/>
        <v>女</v>
      </c>
    </row>
    <row r="2202" spans="1:5" ht="30" customHeight="1">
      <c r="A2202" s="6">
        <v>2200</v>
      </c>
      <c r="B2202" s="6" t="str">
        <f>"299420210526212600108457"</f>
        <v>299420210526212600108457</v>
      </c>
      <c r="C2202" s="6" t="s">
        <v>553</v>
      </c>
      <c r="D2202" s="6" t="str">
        <f>"李娇艳"</f>
        <v>李娇艳</v>
      </c>
      <c r="E2202" s="6" t="str">
        <f t="shared" si="73"/>
        <v>女</v>
      </c>
    </row>
    <row r="2203" spans="1:5" ht="30" customHeight="1">
      <c r="A2203" s="6">
        <v>2201</v>
      </c>
      <c r="B2203" s="6" t="str">
        <f>"299420210526212627108459"</f>
        <v>299420210526212627108459</v>
      </c>
      <c r="C2203" s="6" t="s">
        <v>553</v>
      </c>
      <c r="D2203" s="6" t="str">
        <f>"刘莎莎"</f>
        <v>刘莎莎</v>
      </c>
      <c r="E2203" s="6" t="str">
        <f t="shared" si="73"/>
        <v>女</v>
      </c>
    </row>
    <row r="2204" spans="1:5" ht="30" customHeight="1">
      <c r="A2204" s="6">
        <v>2202</v>
      </c>
      <c r="B2204" s="6" t="str">
        <f>"299420210526213816108482"</f>
        <v>299420210526213816108482</v>
      </c>
      <c r="C2204" s="6" t="s">
        <v>553</v>
      </c>
      <c r="D2204" s="6" t="str">
        <f>"文燕青"</f>
        <v>文燕青</v>
      </c>
      <c r="E2204" s="6" t="str">
        <f t="shared" si="73"/>
        <v>女</v>
      </c>
    </row>
    <row r="2205" spans="1:5" ht="30" customHeight="1">
      <c r="A2205" s="6">
        <v>2203</v>
      </c>
      <c r="B2205" s="6" t="str">
        <f>"299420210526214002108486"</f>
        <v>299420210526214002108486</v>
      </c>
      <c r="C2205" s="6" t="s">
        <v>553</v>
      </c>
      <c r="D2205" s="6" t="str">
        <f>"王草胜"</f>
        <v>王草胜</v>
      </c>
      <c r="E2205" s="6" t="str">
        <f>"男"</f>
        <v>男</v>
      </c>
    </row>
    <row r="2206" spans="1:5" ht="30" customHeight="1">
      <c r="A2206" s="6">
        <v>2204</v>
      </c>
      <c r="B2206" s="6" t="str">
        <f>"299420210526215354108517"</f>
        <v>299420210526215354108517</v>
      </c>
      <c r="C2206" s="6" t="s">
        <v>553</v>
      </c>
      <c r="D2206" s="6" t="str">
        <f>"吴丽婷"</f>
        <v>吴丽婷</v>
      </c>
      <c r="E2206" s="6" t="str">
        <f>"女"</f>
        <v>女</v>
      </c>
    </row>
    <row r="2207" spans="1:5" ht="30" customHeight="1">
      <c r="A2207" s="6">
        <v>2205</v>
      </c>
      <c r="B2207" s="6" t="str">
        <f>"299420210526220719108552"</f>
        <v>299420210526220719108552</v>
      </c>
      <c r="C2207" s="6" t="s">
        <v>553</v>
      </c>
      <c r="D2207" s="6" t="str">
        <f>"王靖榕"</f>
        <v>王靖榕</v>
      </c>
      <c r="E2207" s="6" t="str">
        <f>"女"</f>
        <v>女</v>
      </c>
    </row>
    <row r="2208" spans="1:5" ht="30" customHeight="1">
      <c r="A2208" s="6">
        <v>2206</v>
      </c>
      <c r="B2208" s="6" t="str">
        <f>"299420210526220839108553"</f>
        <v>299420210526220839108553</v>
      </c>
      <c r="C2208" s="6" t="s">
        <v>553</v>
      </c>
      <c r="D2208" s="6" t="str">
        <f>"李平旺"</f>
        <v>李平旺</v>
      </c>
      <c r="E2208" s="6" t="str">
        <f>"男"</f>
        <v>男</v>
      </c>
    </row>
    <row r="2209" spans="1:5" ht="30" customHeight="1">
      <c r="A2209" s="6">
        <v>2207</v>
      </c>
      <c r="B2209" s="6" t="str">
        <f>"299420210526221016108559"</f>
        <v>299420210526221016108559</v>
      </c>
      <c r="C2209" s="6" t="s">
        <v>553</v>
      </c>
      <c r="D2209" s="6" t="str">
        <f>"王倩"</f>
        <v>王倩</v>
      </c>
      <c r="E2209" s="6" t="str">
        <f>"女"</f>
        <v>女</v>
      </c>
    </row>
    <row r="2210" spans="1:5" ht="30" customHeight="1">
      <c r="A2210" s="6">
        <v>2208</v>
      </c>
      <c r="B2210" s="6" t="str">
        <f>"299420210526221308108567"</f>
        <v>299420210526221308108567</v>
      </c>
      <c r="C2210" s="6" t="s">
        <v>553</v>
      </c>
      <c r="D2210" s="6" t="str">
        <f>"钟珍梅"</f>
        <v>钟珍梅</v>
      </c>
      <c r="E2210" s="6" t="str">
        <f>"女"</f>
        <v>女</v>
      </c>
    </row>
    <row r="2211" spans="1:5" ht="30" customHeight="1">
      <c r="A2211" s="6">
        <v>2209</v>
      </c>
      <c r="B2211" s="6" t="str">
        <f>"299420210526221731108579"</f>
        <v>299420210526221731108579</v>
      </c>
      <c r="C2211" s="6" t="s">
        <v>553</v>
      </c>
      <c r="D2211" s="6" t="str">
        <f>"许俊莉"</f>
        <v>许俊莉</v>
      </c>
      <c r="E2211" s="6" t="str">
        <f>"女"</f>
        <v>女</v>
      </c>
    </row>
    <row r="2212" spans="1:5" ht="30" customHeight="1">
      <c r="A2212" s="6">
        <v>2210</v>
      </c>
      <c r="B2212" s="6" t="str">
        <f>"299420210526222005108586"</f>
        <v>299420210526222005108586</v>
      </c>
      <c r="C2212" s="6" t="s">
        <v>553</v>
      </c>
      <c r="D2212" s="6" t="str">
        <f>"王欢"</f>
        <v>王欢</v>
      </c>
      <c r="E2212" s="6" t="str">
        <f>"女"</f>
        <v>女</v>
      </c>
    </row>
    <row r="2213" spans="1:5" ht="30" customHeight="1">
      <c r="A2213" s="6">
        <v>2211</v>
      </c>
      <c r="B2213" s="6" t="str">
        <f>"299420210526222224108594"</f>
        <v>299420210526222224108594</v>
      </c>
      <c r="C2213" s="6" t="s">
        <v>553</v>
      </c>
      <c r="D2213" s="6" t="str">
        <f>"曾雨晨"</f>
        <v>曾雨晨</v>
      </c>
      <c r="E2213" s="6" t="str">
        <f>"女"</f>
        <v>女</v>
      </c>
    </row>
    <row r="2214" spans="1:5" ht="30" customHeight="1">
      <c r="A2214" s="6">
        <v>2212</v>
      </c>
      <c r="B2214" s="6" t="str">
        <f>"299420210526222604108602"</f>
        <v>299420210526222604108602</v>
      </c>
      <c r="C2214" s="6" t="s">
        <v>553</v>
      </c>
      <c r="D2214" s="6" t="str">
        <f>"许森煜"</f>
        <v>许森煜</v>
      </c>
      <c r="E2214" s="6" t="str">
        <f>"男"</f>
        <v>男</v>
      </c>
    </row>
    <row r="2215" spans="1:5" ht="30" customHeight="1">
      <c r="A2215" s="6">
        <v>2213</v>
      </c>
      <c r="B2215" s="6" t="str">
        <f>"299420210526223913108625"</f>
        <v>299420210526223913108625</v>
      </c>
      <c r="C2215" s="6" t="s">
        <v>553</v>
      </c>
      <c r="D2215" s="6" t="str">
        <f>"符慧接"</f>
        <v>符慧接</v>
      </c>
      <c r="E2215" s="6" t="str">
        <f aca="true" t="shared" si="74" ref="E2215:E2223">"女"</f>
        <v>女</v>
      </c>
    </row>
    <row r="2216" spans="1:5" ht="30" customHeight="1">
      <c r="A2216" s="6">
        <v>2214</v>
      </c>
      <c r="B2216" s="6" t="str">
        <f>"299420210526224043108629"</f>
        <v>299420210526224043108629</v>
      </c>
      <c r="C2216" s="6" t="s">
        <v>553</v>
      </c>
      <c r="D2216" s="6" t="str">
        <f>"吴金玉"</f>
        <v>吴金玉</v>
      </c>
      <c r="E2216" s="6" t="str">
        <f t="shared" si="74"/>
        <v>女</v>
      </c>
    </row>
    <row r="2217" spans="1:5" ht="30" customHeight="1">
      <c r="A2217" s="6">
        <v>2215</v>
      </c>
      <c r="B2217" s="6" t="str">
        <f>"299420210526224134108631"</f>
        <v>299420210526224134108631</v>
      </c>
      <c r="C2217" s="6" t="s">
        <v>553</v>
      </c>
      <c r="D2217" s="6" t="str">
        <f>"王晓春"</f>
        <v>王晓春</v>
      </c>
      <c r="E2217" s="6" t="str">
        <f t="shared" si="74"/>
        <v>女</v>
      </c>
    </row>
    <row r="2218" spans="1:5" ht="30" customHeight="1">
      <c r="A2218" s="6">
        <v>2216</v>
      </c>
      <c r="B2218" s="6" t="str">
        <f>"299420210526224759108640"</f>
        <v>299420210526224759108640</v>
      </c>
      <c r="C2218" s="6" t="s">
        <v>553</v>
      </c>
      <c r="D2218" s="6" t="str">
        <f>"黄钟娇"</f>
        <v>黄钟娇</v>
      </c>
      <c r="E2218" s="6" t="str">
        <f t="shared" si="74"/>
        <v>女</v>
      </c>
    </row>
    <row r="2219" spans="1:5" ht="30" customHeight="1">
      <c r="A2219" s="6">
        <v>2217</v>
      </c>
      <c r="B2219" s="6" t="str">
        <f>"299420210526225042108648"</f>
        <v>299420210526225042108648</v>
      </c>
      <c r="C2219" s="6" t="s">
        <v>553</v>
      </c>
      <c r="D2219" s="6" t="str">
        <f>"林保暖"</f>
        <v>林保暖</v>
      </c>
      <c r="E2219" s="6" t="str">
        <f t="shared" si="74"/>
        <v>女</v>
      </c>
    </row>
    <row r="2220" spans="1:5" ht="30" customHeight="1">
      <c r="A2220" s="6">
        <v>2218</v>
      </c>
      <c r="B2220" s="6" t="str">
        <f>"299420210526231106108675"</f>
        <v>299420210526231106108675</v>
      </c>
      <c r="C2220" s="6" t="s">
        <v>553</v>
      </c>
      <c r="D2220" s="6" t="str">
        <f>"吴福慧"</f>
        <v>吴福慧</v>
      </c>
      <c r="E2220" s="6" t="str">
        <f t="shared" si="74"/>
        <v>女</v>
      </c>
    </row>
    <row r="2221" spans="1:5" ht="30" customHeight="1">
      <c r="A2221" s="6">
        <v>2219</v>
      </c>
      <c r="B2221" s="6" t="str">
        <f>"299420210526232136108690"</f>
        <v>299420210526232136108690</v>
      </c>
      <c r="C2221" s="6" t="s">
        <v>553</v>
      </c>
      <c r="D2221" s="6" t="str">
        <f>"林方婷"</f>
        <v>林方婷</v>
      </c>
      <c r="E2221" s="6" t="str">
        <f t="shared" si="74"/>
        <v>女</v>
      </c>
    </row>
    <row r="2222" spans="1:5" ht="30" customHeight="1">
      <c r="A2222" s="6">
        <v>2220</v>
      </c>
      <c r="B2222" s="6" t="str">
        <f>"299420210526233026108701"</f>
        <v>299420210526233026108701</v>
      </c>
      <c r="C2222" s="6" t="s">
        <v>553</v>
      </c>
      <c r="D2222" s="6" t="str">
        <f>"孟江韵"</f>
        <v>孟江韵</v>
      </c>
      <c r="E2222" s="6" t="str">
        <f t="shared" si="74"/>
        <v>女</v>
      </c>
    </row>
    <row r="2223" spans="1:5" ht="30" customHeight="1">
      <c r="A2223" s="6">
        <v>2221</v>
      </c>
      <c r="B2223" s="6" t="str">
        <f>"299420210526234325108715"</f>
        <v>299420210526234325108715</v>
      </c>
      <c r="C2223" s="6" t="s">
        <v>553</v>
      </c>
      <c r="D2223" s="6" t="str">
        <f>"王昌喜"</f>
        <v>王昌喜</v>
      </c>
      <c r="E2223" s="6" t="str">
        <f t="shared" si="74"/>
        <v>女</v>
      </c>
    </row>
    <row r="2224" spans="1:5" ht="30" customHeight="1">
      <c r="A2224" s="6">
        <v>2222</v>
      </c>
      <c r="B2224" s="6" t="str">
        <f>"299420210527001326108747"</f>
        <v>299420210527001326108747</v>
      </c>
      <c r="C2224" s="6" t="s">
        <v>553</v>
      </c>
      <c r="D2224" s="6" t="str">
        <f>"钟昌霖"</f>
        <v>钟昌霖</v>
      </c>
      <c r="E2224" s="6" t="str">
        <f>"男"</f>
        <v>男</v>
      </c>
    </row>
    <row r="2225" spans="1:5" ht="30" customHeight="1">
      <c r="A2225" s="6">
        <v>2223</v>
      </c>
      <c r="B2225" s="6" t="str">
        <f>"299420210527002114108751"</f>
        <v>299420210527002114108751</v>
      </c>
      <c r="C2225" s="6" t="s">
        <v>553</v>
      </c>
      <c r="D2225" s="6" t="str">
        <f>"谢海敏"</f>
        <v>谢海敏</v>
      </c>
      <c r="E2225" s="6" t="str">
        <f aca="true" t="shared" si="75" ref="E2225:E2238">"女"</f>
        <v>女</v>
      </c>
    </row>
    <row r="2226" spans="1:5" ht="30" customHeight="1">
      <c r="A2226" s="6">
        <v>2224</v>
      </c>
      <c r="B2226" s="6" t="str">
        <f>"299420210527002731108755"</f>
        <v>299420210527002731108755</v>
      </c>
      <c r="C2226" s="6" t="s">
        <v>553</v>
      </c>
      <c r="D2226" s="6" t="str">
        <f>"陈孟玉"</f>
        <v>陈孟玉</v>
      </c>
      <c r="E2226" s="6" t="str">
        <f t="shared" si="75"/>
        <v>女</v>
      </c>
    </row>
    <row r="2227" spans="1:5" ht="30" customHeight="1">
      <c r="A2227" s="6">
        <v>2225</v>
      </c>
      <c r="B2227" s="6" t="str">
        <f>"299420210527063209108793"</f>
        <v>299420210527063209108793</v>
      </c>
      <c r="C2227" s="6" t="s">
        <v>553</v>
      </c>
      <c r="D2227" s="6" t="str">
        <f>"钟海妹"</f>
        <v>钟海妹</v>
      </c>
      <c r="E2227" s="6" t="str">
        <f t="shared" si="75"/>
        <v>女</v>
      </c>
    </row>
    <row r="2228" spans="1:5" ht="30" customHeight="1">
      <c r="A2228" s="6">
        <v>2226</v>
      </c>
      <c r="B2228" s="6" t="str">
        <f>"299420210527081245108827"</f>
        <v>299420210527081245108827</v>
      </c>
      <c r="C2228" s="6" t="s">
        <v>553</v>
      </c>
      <c r="D2228" s="6" t="str">
        <f>"伍永珍"</f>
        <v>伍永珍</v>
      </c>
      <c r="E2228" s="6" t="str">
        <f t="shared" si="75"/>
        <v>女</v>
      </c>
    </row>
    <row r="2229" spans="1:5" ht="30" customHeight="1">
      <c r="A2229" s="6">
        <v>2227</v>
      </c>
      <c r="B2229" s="6" t="str">
        <f>"299420210527082801108841"</f>
        <v>299420210527082801108841</v>
      </c>
      <c r="C2229" s="6" t="s">
        <v>553</v>
      </c>
      <c r="D2229" s="6" t="str">
        <f>"欧鸿源"</f>
        <v>欧鸿源</v>
      </c>
      <c r="E2229" s="6" t="str">
        <f t="shared" si="75"/>
        <v>女</v>
      </c>
    </row>
    <row r="2230" spans="1:5" ht="30" customHeight="1">
      <c r="A2230" s="6">
        <v>2228</v>
      </c>
      <c r="B2230" s="6" t="str">
        <f>"299420210527083423108848"</f>
        <v>299420210527083423108848</v>
      </c>
      <c r="C2230" s="6" t="s">
        <v>553</v>
      </c>
      <c r="D2230" s="6" t="str">
        <f>"邢玉丽"</f>
        <v>邢玉丽</v>
      </c>
      <c r="E2230" s="6" t="str">
        <f t="shared" si="75"/>
        <v>女</v>
      </c>
    </row>
    <row r="2231" spans="1:5" ht="30" customHeight="1">
      <c r="A2231" s="6">
        <v>2229</v>
      </c>
      <c r="B2231" s="6" t="str">
        <f>"299420210527083750108850"</f>
        <v>299420210527083750108850</v>
      </c>
      <c r="C2231" s="6" t="s">
        <v>553</v>
      </c>
      <c r="D2231" s="6" t="str">
        <f>"陈美希"</f>
        <v>陈美希</v>
      </c>
      <c r="E2231" s="6" t="str">
        <f t="shared" si="75"/>
        <v>女</v>
      </c>
    </row>
    <row r="2232" spans="1:5" ht="30" customHeight="1">
      <c r="A2232" s="6">
        <v>2230</v>
      </c>
      <c r="B2232" s="6" t="str">
        <f>"299420210527084008108854"</f>
        <v>299420210527084008108854</v>
      </c>
      <c r="C2232" s="6" t="s">
        <v>553</v>
      </c>
      <c r="D2232" s="6" t="str">
        <f>"曾德珠"</f>
        <v>曾德珠</v>
      </c>
      <c r="E2232" s="6" t="str">
        <f t="shared" si="75"/>
        <v>女</v>
      </c>
    </row>
    <row r="2233" spans="1:5" ht="30" customHeight="1">
      <c r="A2233" s="6">
        <v>2231</v>
      </c>
      <c r="B2233" s="6" t="str">
        <f>"299420210527084353108861"</f>
        <v>299420210527084353108861</v>
      </c>
      <c r="C2233" s="6" t="s">
        <v>553</v>
      </c>
      <c r="D2233" s="6" t="str">
        <f>"王璐"</f>
        <v>王璐</v>
      </c>
      <c r="E2233" s="6" t="str">
        <f t="shared" si="75"/>
        <v>女</v>
      </c>
    </row>
    <row r="2234" spans="1:5" ht="30" customHeight="1">
      <c r="A2234" s="6">
        <v>2232</v>
      </c>
      <c r="B2234" s="6" t="str">
        <f>"299420210527084408108863"</f>
        <v>299420210527084408108863</v>
      </c>
      <c r="C2234" s="6" t="s">
        <v>553</v>
      </c>
      <c r="D2234" s="6" t="str">
        <f>"周夏妃"</f>
        <v>周夏妃</v>
      </c>
      <c r="E2234" s="6" t="str">
        <f t="shared" si="75"/>
        <v>女</v>
      </c>
    </row>
    <row r="2235" spans="1:5" ht="30" customHeight="1">
      <c r="A2235" s="6">
        <v>2233</v>
      </c>
      <c r="B2235" s="6" t="str">
        <f>"299420210527090226108891"</f>
        <v>299420210527090226108891</v>
      </c>
      <c r="C2235" s="6" t="s">
        <v>553</v>
      </c>
      <c r="D2235" s="6" t="str">
        <f>"李晶晶"</f>
        <v>李晶晶</v>
      </c>
      <c r="E2235" s="6" t="str">
        <f t="shared" si="75"/>
        <v>女</v>
      </c>
    </row>
    <row r="2236" spans="1:5" ht="30" customHeight="1">
      <c r="A2236" s="6">
        <v>2234</v>
      </c>
      <c r="B2236" s="6" t="str">
        <f>"299420210527092309108918"</f>
        <v>299420210527092309108918</v>
      </c>
      <c r="C2236" s="6" t="s">
        <v>553</v>
      </c>
      <c r="D2236" s="6" t="str">
        <f>"陈明月"</f>
        <v>陈明月</v>
      </c>
      <c r="E2236" s="6" t="str">
        <f t="shared" si="75"/>
        <v>女</v>
      </c>
    </row>
    <row r="2237" spans="1:5" ht="30" customHeight="1">
      <c r="A2237" s="6">
        <v>2235</v>
      </c>
      <c r="B2237" s="6" t="str">
        <f>"299420210527092401108920"</f>
        <v>299420210527092401108920</v>
      </c>
      <c r="C2237" s="6" t="s">
        <v>553</v>
      </c>
      <c r="D2237" s="6" t="str">
        <f>"谢紫婵"</f>
        <v>谢紫婵</v>
      </c>
      <c r="E2237" s="6" t="str">
        <f t="shared" si="75"/>
        <v>女</v>
      </c>
    </row>
    <row r="2238" spans="1:5" ht="30" customHeight="1">
      <c r="A2238" s="6">
        <v>2236</v>
      </c>
      <c r="B2238" s="6" t="str">
        <f>"299420210527092503108922"</f>
        <v>299420210527092503108922</v>
      </c>
      <c r="C2238" s="6" t="s">
        <v>553</v>
      </c>
      <c r="D2238" s="6" t="str">
        <f>"张雪"</f>
        <v>张雪</v>
      </c>
      <c r="E2238" s="6" t="str">
        <f t="shared" si="75"/>
        <v>女</v>
      </c>
    </row>
    <row r="2239" spans="1:5" ht="30" customHeight="1">
      <c r="A2239" s="6">
        <v>2237</v>
      </c>
      <c r="B2239" s="6" t="str">
        <f>"299420210527092927108929"</f>
        <v>299420210527092927108929</v>
      </c>
      <c r="C2239" s="6" t="s">
        <v>553</v>
      </c>
      <c r="D2239" s="6" t="str">
        <f>"许文艺"</f>
        <v>许文艺</v>
      </c>
      <c r="E2239" s="6" t="str">
        <f>"男"</f>
        <v>男</v>
      </c>
    </row>
    <row r="2240" spans="1:5" ht="30" customHeight="1">
      <c r="A2240" s="6">
        <v>2238</v>
      </c>
      <c r="B2240" s="6" t="str">
        <f>"299420210527092929108930"</f>
        <v>299420210527092929108930</v>
      </c>
      <c r="C2240" s="6" t="s">
        <v>553</v>
      </c>
      <c r="D2240" s="6" t="str">
        <f>"赵学秋"</f>
        <v>赵学秋</v>
      </c>
      <c r="E2240" s="6" t="str">
        <f aca="true" t="shared" si="76" ref="E2240:E2246">"女"</f>
        <v>女</v>
      </c>
    </row>
    <row r="2241" spans="1:5" ht="30" customHeight="1">
      <c r="A2241" s="6">
        <v>2239</v>
      </c>
      <c r="B2241" s="6" t="str">
        <f>"299420210527093101108934"</f>
        <v>299420210527093101108934</v>
      </c>
      <c r="C2241" s="6" t="s">
        <v>553</v>
      </c>
      <c r="D2241" s="6" t="str">
        <f>"郭小燕"</f>
        <v>郭小燕</v>
      </c>
      <c r="E2241" s="6" t="str">
        <f t="shared" si="76"/>
        <v>女</v>
      </c>
    </row>
    <row r="2242" spans="1:5" ht="30" customHeight="1">
      <c r="A2242" s="6">
        <v>2240</v>
      </c>
      <c r="B2242" s="6" t="str">
        <f>"299420210527094530108956"</f>
        <v>299420210527094530108956</v>
      </c>
      <c r="C2242" s="6" t="s">
        <v>553</v>
      </c>
      <c r="D2242" s="6" t="str">
        <f>"刘芬琳"</f>
        <v>刘芬琳</v>
      </c>
      <c r="E2242" s="6" t="str">
        <f t="shared" si="76"/>
        <v>女</v>
      </c>
    </row>
    <row r="2243" spans="1:5" ht="30" customHeight="1">
      <c r="A2243" s="6">
        <v>2241</v>
      </c>
      <c r="B2243" s="6" t="str">
        <f>"299420210527100359108996"</f>
        <v>299420210527100359108996</v>
      </c>
      <c r="C2243" s="6" t="s">
        <v>553</v>
      </c>
      <c r="D2243" s="6" t="str">
        <f>"黄嘉嘉"</f>
        <v>黄嘉嘉</v>
      </c>
      <c r="E2243" s="6" t="str">
        <f t="shared" si="76"/>
        <v>女</v>
      </c>
    </row>
    <row r="2244" spans="1:5" ht="30" customHeight="1">
      <c r="A2244" s="6">
        <v>2242</v>
      </c>
      <c r="B2244" s="6" t="str">
        <f>"299420210527101700109029"</f>
        <v>299420210527101700109029</v>
      </c>
      <c r="C2244" s="6" t="s">
        <v>553</v>
      </c>
      <c r="D2244" s="6" t="str">
        <f>"凌家妮"</f>
        <v>凌家妮</v>
      </c>
      <c r="E2244" s="6" t="str">
        <f t="shared" si="76"/>
        <v>女</v>
      </c>
    </row>
    <row r="2245" spans="1:5" ht="30" customHeight="1">
      <c r="A2245" s="6">
        <v>2243</v>
      </c>
      <c r="B2245" s="6" t="str">
        <f>"299420210527102348109040"</f>
        <v>299420210527102348109040</v>
      </c>
      <c r="C2245" s="6" t="s">
        <v>553</v>
      </c>
      <c r="D2245" s="6" t="str">
        <f>"周丹悦"</f>
        <v>周丹悦</v>
      </c>
      <c r="E2245" s="6" t="str">
        <f t="shared" si="76"/>
        <v>女</v>
      </c>
    </row>
    <row r="2246" spans="1:5" ht="30" customHeight="1">
      <c r="A2246" s="6">
        <v>2244</v>
      </c>
      <c r="B2246" s="6" t="str">
        <f>"299420210527102553109045"</f>
        <v>299420210527102553109045</v>
      </c>
      <c r="C2246" s="6" t="s">
        <v>553</v>
      </c>
      <c r="D2246" s="6" t="str">
        <f>"郑文静"</f>
        <v>郑文静</v>
      </c>
      <c r="E2246" s="6" t="str">
        <f t="shared" si="76"/>
        <v>女</v>
      </c>
    </row>
    <row r="2247" spans="1:5" ht="30" customHeight="1">
      <c r="A2247" s="6">
        <v>2245</v>
      </c>
      <c r="B2247" s="6" t="str">
        <f>"299420210527102856109052"</f>
        <v>299420210527102856109052</v>
      </c>
      <c r="C2247" s="6" t="s">
        <v>553</v>
      </c>
      <c r="D2247" s="6" t="str">
        <f>"黎经川"</f>
        <v>黎经川</v>
      </c>
      <c r="E2247" s="6" t="str">
        <f>"男"</f>
        <v>男</v>
      </c>
    </row>
    <row r="2248" spans="1:5" ht="30" customHeight="1">
      <c r="A2248" s="6">
        <v>2246</v>
      </c>
      <c r="B2248" s="6" t="str">
        <f>"299420210527103249109058"</f>
        <v>299420210527103249109058</v>
      </c>
      <c r="C2248" s="6" t="s">
        <v>553</v>
      </c>
      <c r="D2248" s="6" t="str">
        <f>"梁昌叶"</f>
        <v>梁昌叶</v>
      </c>
      <c r="E2248" s="6" t="str">
        <f aca="true" t="shared" si="77" ref="E2248:E2265">"女"</f>
        <v>女</v>
      </c>
    </row>
    <row r="2249" spans="1:5" ht="30" customHeight="1">
      <c r="A2249" s="6">
        <v>2247</v>
      </c>
      <c r="B2249" s="6" t="str">
        <f>"299420210527105412109096"</f>
        <v>299420210527105412109096</v>
      </c>
      <c r="C2249" s="6" t="s">
        <v>553</v>
      </c>
      <c r="D2249" s="6" t="str">
        <f>"王小娃"</f>
        <v>王小娃</v>
      </c>
      <c r="E2249" s="6" t="str">
        <f t="shared" si="77"/>
        <v>女</v>
      </c>
    </row>
    <row r="2250" spans="1:5" ht="30" customHeight="1">
      <c r="A2250" s="6">
        <v>2248</v>
      </c>
      <c r="B2250" s="6" t="str">
        <f>"299420210527105439109099"</f>
        <v>299420210527105439109099</v>
      </c>
      <c r="C2250" s="6" t="s">
        <v>553</v>
      </c>
      <c r="D2250" s="6" t="str">
        <f>"黄冬富"</f>
        <v>黄冬富</v>
      </c>
      <c r="E2250" s="6" t="str">
        <f t="shared" si="77"/>
        <v>女</v>
      </c>
    </row>
    <row r="2251" spans="1:5" ht="30" customHeight="1">
      <c r="A2251" s="6">
        <v>2249</v>
      </c>
      <c r="B2251" s="6" t="str">
        <f>"299420210527105522109101"</f>
        <v>299420210527105522109101</v>
      </c>
      <c r="C2251" s="6" t="s">
        <v>553</v>
      </c>
      <c r="D2251" s="6" t="str">
        <f>"陈芳"</f>
        <v>陈芳</v>
      </c>
      <c r="E2251" s="6" t="str">
        <f t="shared" si="77"/>
        <v>女</v>
      </c>
    </row>
    <row r="2252" spans="1:5" ht="30" customHeight="1">
      <c r="A2252" s="6">
        <v>2250</v>
      </c>
      <c r="B2252" s="6" t="str">
        <f>"299420210527110317109114"</f>
        <v>299420210527110317109114</v>
      </c>
      <c r="C2252" s="6" t="s">
        <v>553</v>
      </c>
      <c r="D2252" s="6" t="str">
        <f>"陈显丽"</f>
        <v>陈显丽</v>
      </c>
      <c r="E2252" s="6" t="str">
        <f t="shared" si="77"/>
        <v>女</v>
      </c>
    </row>
    <row r="2253" spans="1:5" ht="30" customHeight="1">
      <c r="A2253" s="6">
        <v>2251</v>
      </c>
      <c r="B2253" s="6" t="str">
        <f>"299420210527110451109117"</f>
        <v>299420210527110451109117</v>
      </c>
      <c r="C2253" s="6" t="s">
        <v>553</v>
      </c>
      <c r="D2253" s="6" t="str">
        <f>"杨蕙溶"</f>
        <v>杨蕙溶</v>
      </c>
      <c r="E2253" s="6" t="str">
        <f t="shared" si="77"/>
        <v>女</v>
      </c>
    </row>
    <row r="2254" spans="1:5" ht="30" customHeight="1">
      <c r="A2254" s="6">
        <v>2252</v>
      </c>
      <c r="B2254" s="6" t="str">
        <f>"299420210527110457109119"</f>
        <v>299420210527110457109119</v>
      </c>
      <c r="C2254" s="6" t="s">
        <v>553</v>
      </c>
      <c r="D2254" s="6" t="str">
        <f>"颜晓丹"</f>
        <v>颜晓丹</v>
      </c>
      <c r="E2254" s="6" t="str">
        <f t="shared" si="77"/>
        <v>女</v>
      </c>
    </row>
    <row r="2255" spans="1:5" ht="30" customHeight="1">
      <c r="A2255" s="6">
        <v>2253</v>
      </c>
      <c r="B2255" s="6" t="str">
        <f>"299420210527110951109128"</f>
        <v>299420210527110951109128</v>
      </c>
      <c r="C2255" s="6" t="s">
        <v>553</v>
      </c>
      <c r="D2255" s="6" t="str">
        <f>"符丽苹"</f>
        <v>符丽苹</v>
      </c>
      <c r="E2255" s="6" t="str">
        <f t="shared" si="77"/>
        <v>女</v>
      </c>
    </row>
    <row r="2256" spans="1:5" ht="30" customHeight="1">
      <c r="A2256" s="6">
        <v>2254</v>
      </c>
      <c r="B2256" s="6" t="str">
        <f>"299420210527112319109151"</f>
        <v>299420210527112319109151</v>
      </c>
      <c r="C2256" s="6" t="s">
        <v>553</v>
      </c>
      <c r="D2256" s="6" t="str">
        <f>"江亚茹"</f>
        <v>江亚茹</v>
      </c>
      <c r="E2256" s="6" t="str">
        <f t="shared" si="77"/>
        <v>女</v>
      </c>
    </row>
    <row r="2257" spans="1:5" ht="30" customHeight="1">
      <c r="A2257" s="6">
        <v>2255</v>
      </c>
      <c r="B2257" s="6" t="str">
        <f>"299420210527113334109163"</f>
        <v>299420210527113334109163</v>
      </c>
      <c r="C2257" s="6" t="s">
        <v>553</v>
      </c>
      <c r="D2257" s="6" t="str">
        <f>"曾小晋"</f>
        <v>曾小晋</v>
      </c>
      <c r="E2257" s="6" t="str">
        <f t="shared" si="77"/>
        <v>女</v>
      </c>
    </row>
    <row r="2258" spans="1:5" ht="30" customHeight="1">
      <c r="A2258" s="6">
        <v>2256</v>
      </c>
      <c r="B2258" s="6" t="str">
        <f>"299420210527113650109171"</f>
        <v>299420210527113650109171</v>
      </c>
      <c r="C2258" s="6" t="s">
        <v>553</v>
      </c>
      <c r="D2258" s="6" t="str">
        <f>"黄艳"</f>
        <v>黄艳</v>
      </c>
      <c r="E2258" s="6" t="str">
        <f t="shared" si="77"/>
        <v>女</v>
      </c>
    </row>
    <row r="2259" spans="1:5" ht="30" customHeight="1">
      <c r="A2259" s="6">
        <v>2257</v>
      </c>
      <c r="B2259" s="6" t="str">
        <f>"299420210527113836109173"</f>
        <v>299420210527113836109173</v>
      </c>
      <c r="C2259" s="6" t="s">
        <v>553</v>
      </c>
      <c r="D2259" s="6" t="str">
        <f>"洪利吉"</f>
        <v>洪利吉</v>
      </c>
      <c r="E2259" s="6" t="str">
        <f t="shared" si="77"/>
        <v>女</v>
      </c>
    </row>
    <row r="2260" spans="1:5" ht="30" customHeight="1">
      <c r="A2260" s="6">
        <v>2258</v>
      </c>
      <c r="B2260" s="6" t="str">
        <f>"299420210527114300109177"</f>
        <v>299420210527114300109177</v>
      </c>
      <c r="C2260" s="6" t="s">
        <v>553</v>
      </c>
      <c r="D2260" s="6" t="str">
        <f>"卢玮"</f>
        <v>卢玮</v>
      </c>
      <c r="E2260" s="6" t="str">
        <f t="shared" si="77"/>
        <v>女</v>
      </c>
    </row>
    <row r="2261" spans="1:5" ht="30" customHeight="1">
      <c r="A2261" s="6">
        <v>2259</v>
      </c>
      <c r="B2261" s="6" t="str">
        <f>"299420210527114642109183"</f>
        <v>299420210527114642109183</v>
      </c>
      <c r="C2261" s="6" t="s">
        <v>553</v>
      </c>
      <c r="D2261" s="6" t="str">
        <f>"罗孙娜"</f>
        <v>罗孙娜</v>
      </c>
      <c r="E2261" s="6" t="str">
        <f t="shared" si="77"/>
        <v>女</v>
      </c>
    </row>
    <row r="2262" spans="1:5" ht="30" customHeight="1">
      <c r="A2262" s="6">
        <v>2260</v>
      </c>
      <c r="B2262" s="6" t="str">
        <f>"299420210527120500109196"</f>
        <v>299420210527120500109196</v>
      </c>
      <c r="C2262" s="6" t="s">
        <v>553</v>
      </c>
      <c r="D2262" s="6" t="str">
        <f>"王儒玲"</f>
        <v>王儒玲</v>
      </c>
      <c r="E2262" s="6" t="str">
        <f t="shared" si="77"/>
        <v>女</v>
      </c>
    </row>
    <row r="2263" spans="1:5" ht="30" customHeight="1">
      <c r="A2263" s="6">
        <v>2261</v>
      </c>
      <c r="B2263" s="6" t="str">
        <f>"299420210527121553109207"</f>
        <v>299420210527121553109207</v>
      </c>
      <c r="C2263" s="6" t="s">
        <v>553</v>
      </c>
      <c r="D2263" s="6" t="str">
        <f>"谢玲丹"</f>
        <v>谢玲丹</v>
      </c>
      <c r="E2263" s="6" t="str">
        <f t="shared" si="77"/>
        <v>女</v>
      </c>
    </row>
    <row r="2264" spans="1:5" ht="30" customHeight="1">
      <c r="A2264" s="6">
        <v>2262</v>
      </c>
      <c r="B2264" s="6" t="str">
        <f>"299420210527121643109209"</f>
        <v>299420210527121643109209</v>
      </c>
      <c r="C2264" s="6" t="s">
        <v>553</v>
      </c>
      <c r="D2264" s="6" t="str">
        <f>"邢诗雅"</f>
        <v>邢诗雅</v>
      </c>
      <c r="E2264" s="6" t="str">
        <f t="shared" si="77"/>
        <v>女</v>
      </c>
    </row>
    <row r="2265" spans="1:5" ht="30" customHeight="1">
      <c r="A2265" s="6">
        <v>2263</v>
      </c>
      <c r="B2265" s="6" t="str">
        <f>"299420210527122520109219"</f>
        <v>299420210527122520109219</v>
      </c>
      <c r="C2265" s="6" t="s">
        <v>553</v>
      </c>
      <c r="D2265" s="6" t="str">
        <f>"李硕芙"</f>
        <v>李硕芙</v>
      </c>
      <c r="E2265" s="6" t="str">
        <f t="shared" si="77"/>
        <v>女</v>
      </c>
    </row>
    <row r="2266" spans="1:5" ht="30" customHeight="1">
      <c r="A2266" s="6">
        <v>2264</v>
      </c>
      <c r="B2266" s="6" t="str">
        <f>"299420210527123105109228"</f>
        <v>299420210527123105109228</v>
      </c>
      <c r="C2266" s="6" t="s">
        <v>553</v>
      </c>
      <c r="D2266" s="6" t="str">
        <f>"林明福"</f>
        <v>林明福</v>
      </c>
      <c r="E2266" s="6" t="str">
        <f>"男"</f>
        <v>男</v>
      </c>
    </row>
    <row r="2267" spans="1:5" ht="30" customHeight="1">
      <c r="A2267" s="6">
        <v>2265</v>
      </c>
      <c r="B2267" s="6" t="str">
        <f>"299420210527123509109236"</f>
        <v>299420210527123509109236</v>
      </c>
      <c r="C2267" s="6" t="s">
        <v>553</v>
      </c>
      <c r="D2267" s="6" t="str">
        <f>"任琳琳"</f>
        <v>任琳琳</v>
      </c>
      <c r="E2267" s="6" t="str">
        <f aca="true" t="shared" si="78" ref="E2267:E2276">"女"</f>
        <v>女</v>
      </c>
    </row>
    <row r="2268" spans="1:5" ht="30" customHeight="1">
      <c r="A2268" s="6">
        <v>2266</v>
      </c>
      <c r="B2268" s="7" t="str">
        <f>"299420210530182714112511"</f>
        <v>299420210530182714112511</v>
      </c>
      <c r="C2268" s="7" t="s">
        <v>553</v>
      </c>
      <c r="D2268" s="7" t="str">
        <f>"李燕珠"</f>
        <v>李燕珠</v>
      </c>
      <c r="E2268" s="7" t="str">
        <f t="shared" si="78"/>
        <v>女</v>
      </c>
    </row>
    <row r="2269" spans="1:5" ht="30" customHeight="1">
      <c r="A2269" s="6">
        <v>2267</v>
      </c>
      <c r="B2269" s="6" t="str">
        <f>"299420210527123645109241"</f>
        <v>299420210527123645109241</v>
      </c>
      <c r="C2269" s="6" t="s">
        <v>553</v>
      </c>
      <c r="D2269" s="6" t="str">
        <f>"董采旭"</f>
        <v>董采旭</v>
      </c>
      <c r="E2269" s="6" t="str">
        <f t="shared" si="78"/>
        <v>女</v>
      </c>
    </row>
    <row r="2270" spans="1:5" ht="30" customHeight="1">
      <c r="A2270" s="6">
        <v>2268</v>
      </c>
      <c r="B2270" s="6" t="str">
        <f>"299420210527123819109245"</f>
        <v>299420210527123819109245</v>
      </c>
      <c r="C2270" s="6" t="s">
        <v>553</v>
      </c>
      <c r="D2270" s="6" t="str">
        <f>"吴清芳"</f>
        <v>吴清芳</v>
      </c>
      <c r="E2270" s="6" t="str">
        <f t="shared" si="78"/>
        <v>女</v>
      </c>
    </row>
    <row r="2271" spans="1:5" ht="30" customHeight="1">
      <c r="A2271" s="6">
        <v>2269</v>
      </c>
      <c r="B2271" s="6" t="str">
        <f>"299420210527124045109252"</f>
        <v>299420210527124045109252</v>
      </c>
      <c r="C2271" s="6" t="s">
        <v>553</v>
      </c>
      <c r="D2271" s="6" t="str">
        <f>"符少巧"</f>
        <v>符少巧</v>
      </c>
      <c r="E2271" s="6" t="str">
        <f t="shared" si="78"/>
        <v>女</v>
      </c>
    </row>
    <row r="2272" spans="1:5" ht="30" customHeight="1">
      <c r="A2272" s="6">
        <v>2270</v>
      </c>
      <c r="B2272" s="6" t="str">
        <f>"299420210527130736109289"</f>
        <v>299420210527130736109289</v>
      </c>
      <c r="C2272" s="6" t="s">
        <v>553</v>
      </c>
      <c r="D2272" s="6" t="str">
        <f>"张泽莉"</f>
        <v>张泽莉</v>
      </c>
      <c r="E2272" s="6" t="str">
        <f t="shared" si="78"/>
        <v>女</v>
      </c>
    </row>
    <row r="2273" spans="1:5" ht="30" customHeight="1">
      <c r="A2273" s="6">
        <v>2271</v>
      </c>
      <c r="B2273" s="6" t="str">
        <f>"299420210527130903109291"</f>
        <v>299420210527130903109291</v>
      </c>
      <c r="C2273" s="6" t="s">
        <v>553</v>
      </c>
      <c r="D2273" s="6" t="str">
        <f>"吴曼谊"</f>
        <v>吴曼谊</v>
      </c>
      <c r="E2273" s="6" t="str">
        <f t="shared" si="78"/>
        <v>女</v>
      </c>
    </row>
    <row r="2274" spans="1:5" ht="30" customHeight="1">
      <c r="A2274" s="6">
        <v>2272</v>
      </c>
      <c r="B2274" s="6" t="str">
        <f>"299420210527135246109333"</f>
        <v>299420210527135246109333</v>
      </c>
      <c r="C2274" s="6" t="s">
        <v>553</v>
      </c>
      <c r="D2274" s="6" t="str">
        <f>"符亚恋"</f>
        <v>符亚恋</v>
      </c>
      <c r="E2274" s="6" t="str">
        <f t="shared" si="78"/>
        <v>女</v>
      </c>
    </row>
    <row r="2275" spans="1:5" ht="30" customHeight="1">
      <c r="A2275" s="6">
        <v>2273</v>
      </c>
      <c r="B2275" s="6" t="str">
        <f>"299420210527140821109343"</f>
        <v>299420210527140821109343</v>
      </c>
      <c r="C2275" s="6" t="s">
        <v>553</v>
      </c>
      <c r="D2275" s="6" t="str">
        <f>"陈茜茜"</f>
        <v>陈茜茜</v>
      </c>
      <c r="E2275" s="6" t="str">
        <f t="shared" si="78"/>
        <v>女</v>
      </c>
    </row>
    <row r="2276" spans="1:5" ht="30" customHeight="1">
      <c r="A2276" s="6">
        <v>2274</v>
      </c>
      <c r="B2276" s="6" t="str">
        <f>"299420210527141423109349"</f>
        <v>299420210527141423109349</v>
      </c>
      <c r="C2276" s="6" t="s">
        <v>553</v>
      </c>
      <c r="D2276" s="6" t="str">
        <f>"骆秋良"</f>
        <v>骆秋良</v>
      </c>
      <c r="E2276" s="6" t="str">
        <f t="shared" si="78"/>
        <v>女</v>
      </c>
    </row>
    <row r="2277" spans="1:5" ht="30" customHeight="1">
      <c r="A2277" s="6">
        <v>2275</v>
      </c>
      <c r="B2277" s="6" t="str">
        <f>"299420210527142931109361"</f>
        <v>299420210527142931109361</v>
      </c>
      <c r="C2277" s="6" t="s">
        <v>553</v>
      </c>
      <c r="D2277" s="6" t="str">
        <f>"李厚先"</f>
        <v>李厚先</v>
      </c>
      <c r="E2277" s="6" t="str">
        <f>"男"</f>
        <v>男</v>
      </c>
    </row>
    <row r="2278" spans="1:5" ht="30" customHeight="1">
      <c r="A2278" s="6">
        <v>2276</v>
      </c>
      <c r="B2278" s="6" t="str">
        <f>"299420210527143316109365"</f>
        <v>299420210527143316109365</v>
      </c>
      <c r="C2278" s="6" t="s">
        <v>553</v>
      </c>
      <c r="D2278" s="6" t="str">
        <f>"庞美娇"</f>
        <v>庞美娇</v>
      </c>
      <c r="E2278" s="6" t="str">
        <f aca="true" t="shared" si="79" ref="E2278:E2302">"女"</f>
        <v>女</v>
      </c>
    </row>
    <row r="2279" spans="1:5" ht="30" customHeight="1">
      <c r="A2279" s="6">
        <v>2277</v>
      </c>
      <c r="B2279" s="6" t="str">
        <f>"299420210527144626109387"</f>
        <v>299420210527144626109387</v>
      </c>
      <c r="C2279" s="6" t="s">
        <v>553</v>
      </c>
      <c r="D2279" s="6" t="str">
        <f>"吴欣莲"</f>
        <v>吴欣莲</v>
      </c>
      <c r="E2279" s="6" t="str">
        <f t="shared" si="79"/>
        <v>女</v>
      </c>
    </row>
    <row r="2280" spans="1:5" ht="30" customHeight="1">
      <c r="A2280" s="6">
        <v>2278</v>
      </c>
      <c r="B2280" s="6" t="str">
        <f>"299420210527145023109393"</f>
        <v>299420210527145023109393</v>
      </c>
      <c r="C2280" s="6" t="s">
        <v>553</v>
      </c>
      <c r="D2280" s="6" t="str">
        <f>"陈小雪"</f>
        <v>陈小雪</v>
      </c>
      <c r="E2280" s="6" t="str">
        <f t="shared" si="79"/>
        <v>女</v>
      </c>
    </row>
    <row r="2281" spans="1:5" ht="30" customHeight="1">
      <c r="A2281" s="6">
        <v>2279</v>
      </c>
      <c r="B2281" s="6" t="str">
        <f>"299420210527145141109395"</f>
        <v>299420210527145141109395</v>
      </c>
      <c r="C2281" s="6" t="s">
        <v>553</v>
      </c>
      <c r="D2281" s="6" t="str">
        <f>"廖颖"</f>
        <v>廖颖</v>
      </c>
      <c r="E2281" s="6" t="str">
        <f t="shared" si="79"/>
        <v>女</v>
      </c>
    </row>
    <row r="2282" spans="1:5" ht="30" customHeight="1">
      <c r="A2282" s="6">
        <v>2280</v>
      </c>
      <c r="B2282" s="6" t="str">
        <f>"299420210527145321109396"</f>
        <v>299420210527145321109396</v>
      </c>
      <c r="C2282" s="6" t="s">
        <v>553</v>
      </c>
      <c r="D2282" s="6" t="str">
        <f>"吴小欣"</f>
        <v>吴小欣</v>
      </c>
      <c r="E2282" s="6" t="str">
        <f t="shared" si="79"/>
        <v>女</v>
      </c>
    </row>
    <row r="2283" spans="1:5" ht="30" customHeight="1">
      <c r="A2283" s="6">
        <v>2281</v>
      </c>
      <c r="B2283" s="6" t="str">
        <f>"299420210527145814109403"</f>
        <v>299420210527145814109403</v>
      </c>
      <c r="C2283" s="6" t="s">
        <v>553</v>
      </c>
      <c r="D2283" s="6" t="str">
        <f>"王佳琦"</f>
        <v>王佳琦</v>
      </c>
      <c r="E2283" s="6" t="str">
        <f t="shared" si="79"/>
        <v>女</v>
      </c>
    </row>
    <row r="2284" spans="1:5" ht="30" customHeight="1">
      <c r="A2284" s="6">
        <v>2282</v>
      </c>
      <c r="B2284" s="6" t="str">
        <f>"299420210527152247109439"</f>
        <v>299420210527152247109439</v>
      </c>
      <c r="C2284" s="6" t="s">
        <v>553</v>
      </c>
      <c r="D2284" s="6" t="str">
        <f>"蔡雄艳"</f>
        <v>蔡雄艳</v>
      </c>
      <c r="E2284" s="6" t="str">
        <f t="shared" si="79"/>
        <v>女</v>
      </c>
    </row>
    <row r="2285" spans="1:5" ht="30" customHeight="1">
      <c r="A2285" s="6">
        <v>2283</v>
      </c>
      <c r="B2285" s="6" t="str">
        <f>"299420210527152423109442"</f>
        <v>299420210527152423109442</v>
      </c>
      <c r="C2285" s="6" t="s">
        <v>553</v>
      </c>
      <c r="D2285" s="6" t="str">
        <f>"苏向婷"</f>
        <v>苏向婷</v>
      </c>
      <c r="E2285" s="6" t="str">
        <f t="shared" si="79"/>
        <v>女</v>
      </c>
    </row>
    <row r="2286" spans="1:5" ht="30" customHeight="1">
      <c r="A2286" s="6">
        <v>2284</v>
      </c>
      <c r="B2286" s="6" t="str">
        <f>"299420210527152932109451"</f>
        <v>299420210527152932109451</v>
      </c>
      <c r="C2286" s="6" t="s">
        <v>553</v>
      </c>
      <c r="D2286" s="6" t="str">
        <f>"叶青文"</f>
        <v>叶青文</v>
      </c>
      <c r="E2286" s="6" t="str">
        <f t="shared" si="79"/>
        <v>女</v>
      </c>
    </row>
    <row r="2287" spans="1:5" ht="30" customHeight="1">
      <c r="A2287" s="6">
        <v>2285</v>
      </c>
      <c r="B2287" s="6" t="str">
        <f>"299420210527153134109456"</f>
        <v>299420210527153134109456</v>
      </c>
      <c r="C2287" s="6" t="s">
        <v>553</v>
      </c>
      <c r="D2287" s="6" t="str">
        <f>"王恩瑄"</f>
        <v>王恩瑄</v>
      </c>
      <c r="E2287" s="6" t="str">
        <f t="shared" si="79"/>
        <v>女</v>
      </c>
    </row>
    <row r="2288" spans="1:5" ht="30" customHeight="1">
      <c r="A2288" s="6">
        <v>2286</v>
      </c>
      <c r="B2288" s="6" t="str">
        <f>"299420210527153316109458"</f>
        <v>299420210527153316109458</v>
      </c>
      <c r="C2288" s="6" t="s">
        <v>553</v>
      </c>
      <c r="D2288" s="6" t="str">
        <f>"钟霞"</f>
        <v>钟霞</v>
      </c>
      <c r="E2288" s="6" t="str">
        <f t="shared" si="79"/>
        <v>女</v>
      </c>
    </row>
    <row r="2289" spans="1:5" ht="30" customHeight="1">
      <c r="A2289" s="6">
        <v>2287</v>
      </c>
      <c r="B2289" s="6" t="str">
        <f>"299420210527153619109465"</f>
        <v>299420210527153619109465</v>
      </c>
      <c r="C2289" s="6" t="s">
        <v>553</v>
      </c>
      <c r="D2289" s="6" t="str">
        <f>"马静卫"</f>
        <v>马静卫</v>
      </c>
      <c r="E2289" s="6" t="str">
        <f t="shared" si="79"/>
        <v>女</v>
      </c>
    </row>
    <row r="2290" spans="1:5" ht="30" customHeight="1">
      <c r="A2290" s="6">
        <v>2288</v>
      </c>
      <c r="B2290" s="6" t="str">
        <f>"299420210527155533109505"</f>
        <v>299420210527155533109505</v>
      </c>
      <c r="C2290" s="6" t="s">
        <v>553</v>
      </c>
      <c r="D2290" s="6" t="str">
        <f>"黄丽燕"</f>
        <v>黄丽燕</v>
      </c>
      <c r="E2290" s="6" t="str">
        <f t="shared" si="79"/>
        <v>女</v>
      </c>
    </row>
    <row r="2291" spans="1:5" ht="30" customHeight="1">
      <c r="A2291" s="6">
        <v>2289</v>
      </c>
      <c r="B2291" s="6" t="str">
        <f>"299420210527160252109518"</f>
        <v>299420210527160252109518</v>
      </c>
      <c r="C2291" s="6" t="s">
        <v>553</v>
      </c>
      <c r="D2291" s="6" t="str">
        <f>"蔡伟兰"</f>
        <v>蔡伟兰</v>
      </c>
      <c r="E2291" s="6" t="str">
        <f t="shared" si="79"/>
        <v>女</v>
      </c>
    </row>
    <row r="2292" spans="1:5" ht="30" customHeight="1">
      <c r="A2292" s="6">
        <v>2290</v>
      </c>
      <c r="B2292" s="6" t="str">
        <f>"299420210527160745109531"</f>
        <v>299420210527160745109531</v>
      </c>
      <c r="C2292" s="6" t="s">
        <v>553</v>
      </c>
      <c r="D2292" s="6" t="str">
        <f>"王静"</f>
        <v>王静</v>
      </c>
      <c r="E2292" s="6" t="str">
        <f t="shared" si="79"/>
        <v>女</v>
      </c>
    </row>
    <row r="2293" spans="1:5" ht="30" customHeight="1">
      <c r="A2293" s="6">
        <v>2291</v>
      </c>
      <c r="B2293" s="6" t="str">
        <f>"299420210527161946109548"</f>
        <v>299420210527161946109548</v>
      </c>
      <c r="C2293" s="6" t="s">
        <v>553</v>
      </c>
      <c r="D2293" s="6" t="str">
        <f>"沈凤"</f>
        <v>沈凤</v>
      </c>
      <c r="E2293" s="6" t="str">
        <f t="shared" si="79"/>
        <v>女</v>
      </c>
    </row>
    <row r="2294" spans="1:5" ht="30" customHeight="1">
      <c r="A2294" s="6">
        <v>2292</v>
      </c>
      <c r="B2294" s="6" t="str">
        <f>"299420210527162105109555"</f>
        <v>299420210527162105109555</v>
      </c>
      <c r="C2294" s="6" t="s">
        <v>553</v>
      </c>
      <c r="D2294" s="6" t="str">
        <f>"陈慧"</f>
        <v>陈慧</v>
      </c>
      <c r="E2294" s="6" t="str">
        <f t="shared" si="79"/>
        <v>女</v>
      </c>
    </row>
    <row r="2295" spans="1:5" ht="30" customHeight="1">
      <c r="A2295" s="6">
        <v>2293</v>
      </c>
      <c r="B2295" s="6" t="str">
        <f>"299420210527162150109558"</f>
        <v>299420210527162150109558</v>
      </c>
      <c r="C2295" s="6" t="s">
        <v>553</v>
      </c>
      <c r="D2295" s="6" t="str">
        <f>"冯苗"</f>
        <v>冯苗</v>
      </c>
      <c r="E2295" s="6" t="str">
        <f t="shared" si="79"/>
        <v>女</v>
      </c>
    </row>
    <row r="2296" spans="1:5" ht="30" customHeight="1">
      <c r="A2296" s="6">
        <v>2294</v>
      </c>
      <c r="B2296" s="6" t="str">
        <f>"299420210527162200109559"</f>
        <v>299420210527162200109559</v>
      </c>
      <c r="C2296" s="6" t="s">
        <v>553</v>
      </c>
      <c r="D2296" s="6" t="str">
        <f>"林芳芳"</f>
        <v>林芳芳</v>
      </c>
      <c r="E2296" s="6" t="str">
        <f t="shared" si="79"/>
        <v>女</v>
      </c>
    </row>
    <row r="2297" spans="1:5" ht="30" customHeight="1">
      <c r="A2297" s="6">
        <v>2295</v>
      </c>
      <c r="B2297" s="6" t="str">
        <f>"299420210527162846109570"</f>
        <v>299420210527162846109570</v>
      </c>
      <c r="C2297" s="6" t="s">
        <v>553</v>
      </c>
      <c r="D2297" s="6" t="str">
        <f>"卢吉燕"</f>
        <v>卢吉燕</v>
      </c>
      <c r="E2297" s="6" t="str">
        <f t="shared" si="79"/>
        <v>女</v>
      </c>
    </row>
    <row r="2298" spans="1:5" ht="30" customHeight="1">
      <c r="A2298" s="6">
        <v>2296</v>
      </c>
      <c r="B2298" s="6" t="str">
        <f>"299420210527164524109601"</f>
        <v>299420210527164524109601</v>
      </c>
      <c r="C2298" s="6" t="s">
        <v>553</v>
      </c>
      <c r="D2298" s="6" t="str">
        <f>"麦雯雯"</f>
        <v>麦雯雯</v>
      </c>
      <c r="E2298" s="6" t="str">
        <f t="shared" si="79"/>
        <v>女</v>
      </c>
    </row>
    <row r="2299" spans="1:5" ht="30" customHeight="1">
      <c r="A2299" s="6">
        <v>2297</v>
      </c>
      <c r="B2299" s="6" t="str">
        <f>"299420210527164817109607"</f>
        <v>299420210527164817109607</v>
      </c>
      <c r="C2299" s="6" t="s">
        <v>553</v>
      </c>
      <c r="D2299" s="6" t="str">
        <f>"王丽"</f>
        <v>王丽</v>
      </c>
      <c r="E2299" s="6" t="str">
        <f t="shared" si="79"/>
        <v>女</v>
      </c>
    </row>
    <row r="2300" spans="1:5" ht="30" customHeight="1">
      <c r="A2300" s="6">
        <v>2298</v>
      </c>
      <c r="B2300" s="6" t="str">
        <f>"299420210527164818109608"</f>
        <v>299420210527164818109608</v>
      </c>
      <c r="C2300" s="6" t="s">
        <v>553</v>
      </c>
      <c r="D2300" s="6" t="str">
        <f>"唐芳芳"</f>
        <v>唐芳芳</v>
      </c>
      <c r="E2300" s="6" t="str">
        <f t="shared" si="79"/>
        <v>女</v>
      </c>
    </row>
    <row r="2301" spans="1:5" ht="30" customHeight="1">
      <c r="A2301" s="6">
        <v>2299</v>
      </c>
      <c r="B2301" s="6" t="str">
        <f>"299420210527165342109623"</f>
        <v>299420210527165342109623</v>
      </c>
      <c r="C2301" s="6" t="s">
        <v>553</v>
      </c>
      <c r="D2301" s="6" t="str">
        <f>"邓丽春"</f>
        <v>邓丽春</v>
      </c>
      <c r="E2301" s="6" t="str">
        <f t="shared" si="79"/>
        <v>女</v>
      </c>
    </row>
    <row r="2302" spans="1:5" ht="30" customHeight="1">
      <c r="A2302" s="6">
        <v>2300</v>
      </c>
      <c r="B2302" s="6" t="str">
        <f>"299420210527170833109652"</f>
        <v>299420210527170833109652</v>
      </c>
      <c r="C2302" s="6" t="s">
        <v>553</v>
      </c>
      <c r="D2302" s="6" t="str">
        <f>"王天敏"</f>
        <v>王天敏</v>
      </c>
      <c r="E2302" s="6" t="str">
        <f t="shared" si="79"/>
        <v>女</v>
      </c>
    </row>
    <row r="2303" spans="1:5" ht="30" customHeight="1">
      <c r="A2303" s="6">
        <v>2301</v>
      </c>
      <c r="B2303" s="6" t="str">
        <f>"299420210527173039109680"</f>
        <v>299420210527173039109680</v>
      </c>
      <c r="C2303" s="6" t="s">
        <v>553</v>
      </c>
      <c r="D2303" s="6" t="str">
        <f>"麦禄岗"</f>
        <v>麦禄岗</v>
      </c>
      <c r="E2303" s="6" t="str">
        <f>"男"</f>
        <v>男</v>
      </c>
    </row>
    <row r="2304" spans="1:5" ht="30" customHeight="1">
      <c r="A2304" s="6">
        <v>2302</v>
      </c>
      <c r="B2304" s="6" t="str">
        <f>"299420210527174002109692"</f>
        <v>299420210527174002109692</v>
      </c>
      <c r="C2304" s="6" t="s">
        <v>553</v>
      </c>
      <c r="D2304" s="6" t="str">
        <f>"陈金凡"</f>
        <v>陈金凡</v>
      </c>
      <c r="E2304" s="6" t="str">
        <f>"女"</f>
        <v>女</v>
      </c>
    </row>
    <row r="2305" spans="1:5" ht="30" customHeight="1">
      <c r="A2305" s="6">
        <v>2303</v>
      </c>
      <c r="B2305" s="6" t="str">
        <f>"299420210527180231109722"</f>
        <v>299420210527180231109722</v>
      </c>
      <c r="C2305" s="6" t="s">
        <v>553</v>
      </c>
      <c r="D2305" s="6" t="str">
        <f>"孟丹丹"</f>
        <v>孟丹丹</v>
      </c>
      <c r="E2305" s="6" t="str">
        <f>"女"</f>
        <v>女</v>
      </c>
    </row>
    <row r="2306" spans="1:5" ht="30" customHeight="1">
      <c r="A2306" s="6">
        <v>2304</v>
      </c>
      <c r="B2306" s="6" t="str">
        <f>"299420210527180742109728"</f>
        <v>299420210527180742109728</v>
      </c>
      <c r="C2306" s="6" t="s">
        <v>553</v>
      </c>
      <c r="D2306" s="6" t="str">
        <f>"王昭宇"</f>
        <v>王昭宇</v>
      </c>
      <c r="E2306" s="6" t="str">
        <f>"女"</f>
        <v>女</v>
      </c>
    </row>
    <row r="2307" spans="1:5" ht="30" customHeight="1">
      <c r="A2307" s="6">
        <v>2305</v>
      </c>
      <c r="B2307" s="6" t="str">
        <f>"299420210527180926109730"</f>
        <v>299420210527180926109730</v>
      </c>
      <c r="C2307" s="6" t="s">
        <v>553</v>
      </c>
      <c r="D2307" s="6" t="str">
        <f>"严冬霖"</f>
        <v>严冬霖</v>
      </c>
      <c r="E2307" s="6" t="str">
        <f>"男"</f>
        <v>男</v>
      </c>
    </row>
    <row r="2308" spans="1:5" ht="30" customHeight="1">
      <c r="A2308" s="6">
        <v>2306</v>
      </c>
      <c r="B2308" s="6" t="str">
        <f>"299420210527181707109738"</f>
        <v>299420210527181707109738</v>
      </c>
      <c r="C2308" s="6" t="s">
        <v>553</v>
      </c>
      <c r="D2308" s="6" t="str">
        <f>"陈少风"</f>
        <v>陈少风</v>
      </c>
      <c r="E2308" s="6" t="str">
        <f aca="true" t="shared" si="80" ref="E2308:E2318">"女"</f>
        <v>女</v>
      </c>
    </row>
    <row r="2309" spans="1:5" ht="30" customHeight="1">
      <c r="A2309" s="6">
        <v>2307</v>
      </c>
      <c r="B2309" s="6" t="str">
        <f>"299420210527182649109748"</f>
        <v>299420210527182649109748</v>
      </c>
      <c r="C2309" s="6" t="s">
        <v>553</v>
      </c>
      <c r="D2309" s="6" t="str">
        <f>"黎三花"</f>
        <v>黎三花</v>
      </c>
      <c r="E2309" s="6" t="str">
        <f t="shared" si="80"/>
        <v>女</v>
      </c>
    </row>
    <row r="2310" spans="1:5" ht="30" customHeight="1">
      <c r="A2310" s="6">
        <v>2308</v>
      </c>
      <c r="B2310" s="6" t="str">
        <f>"299420210527184845109772"</f>
        <v>299420210527184845109772</v>
      </c>
      <c r="C2310" s="6" t="s">
        <v>553</v>
      </c>
      <c r="D2310" s="6" t="str">
        <f>"李美玉"</f>
        <v>李美玉</v>
      </c>
      <c r="E2310" s="6" t="str">
        <f t="shared" si="80"/>
        <v>女</v>
      </c>
    </row>
    <row r="2311" spans="1:5" ht="30" customHeight="1">
      <c r="A2311" s="6">
        <v>2309</v>
      </c>
      <c r="B2311" s="6" t="str">
        <f>"299420210527185016109780"</f>
        <v>299420210527185016109780</v>
      </c>
      <c r="C2311" s="6" t="s">
        <v>553</v>
      </c>
      <c r="D2311" s="6" t="str">
        <f>"许春雨"</f>
        <v>许春雨</v>
      </c>
      <c r="E2311" s="6" t="str">
        <f t="shared" si="80"/>
        <v>女</v>
      </c>
    </row>
    <row r="2312" spans="1:5" ht="30" customHeight="1">
      <c r="A2312" s="6">
        <v>2310</v>
      </c>
      <c r="B2312" s="6" t="str">
        <f>"299420210527185737109788"</f>
        <v>299420210527185737109788</v>
      </c>
      <c r="C2312" s="6" t="s">
        <v>553</v>
      </c>
      <c r="D2312" s="6" t="str">
        <f>"陈凤旋"</f>
        <v>陈凤旋</v>
      </c>
      <c r="E2312" s="6" t="str">
        <f t="shared" si="80"/>
        <v>女</v>
      </c>
    </row>
    <row r="2313" spans="1:5" ht="30" customHeight="1">
      <c r="A2313" s="6">
        <v>2311</v>
      </c>
      <c r="B2313" s="6" t="str">
        <f>"299420210527191018109795"</f>
        <v>299420210527191018109795</v>
      </c>
      <c r="C2313" s="6" t="s">
        <v>553</v>
      </c>
      <c r="D2313" s="6" t="str">
        <f>"王昭惠"</f>
        <v>王昭惠</v>
      </c>
      <c r="E2313" s="6" t="str">
        <f t="shared" si="80"/>
        <v>女</v>
      </c>
    </row>
    <row r="2314" spans="1:5" ht="30" customHeight="1">
      <c r="A2314" s="6">
        <v>2312</v>
      </c>
      <c r="B2314" s="6" t="str">
        <f>"299420210527193042109819"</f>
        <v>299420210527193042109819</v>
      </c>
      <c r="C2314" s="6" t="s">
        <v>553</v>
      </c>
      <c r="D2314" s="6" t="str">
        <f>"张小玉"</f>
        <v>张小玉</v>
      </c>
      <c r="E2314" s="6" t="str">
        <f t="shared" si="80"/>
        <v>女</v>
      </c>
    </row>
    <row r="2315" spans="1:5" ht="30" customHeight="1">
      <c r="A2315" s="6">
        <v>2313</v>
      </c>
      <c r="B2315" s="6" t="str">
        <f>"299420210527193251109822"</f>
        <v>299420210527193251109822</v>
      </c>
      <c r="C2315" s="6" t="s">
        <v>553</v>
      </c>
      <c r="D2315" s="6" t="str">
        <f>"周慧媚"</f>
        <v>周慧媚</v>
      </c>
      <c r="E2315" s="6" t="str">
        <f t="shared" si="80"/>
        <v>女</v>
      </c>
    </row>
    <row r="2316" spans="1:5" ht="30" customHeight="1">
      <c r="A2316" s="6">
        <v>2314</v>
      </c>
      <c r="B2316" s="6" t="str">
        <f>"299420210527200532109863"</f>
        <v>299420210527200532109863</v>
      </c>
      <c r="C2316" s="6" t="s">
        <v>553</v>
      </c>
      <c r="D2316" s="6" t="str">
        <f>"邱宇"</f>
        <v>邱宇</v>
      </c>
      <c r="E2316" s="6" t="str">
        <f t="shared" si="80"/>
        <v>女</v>
      </c>
    </row>
    <row r="2317" spans="1:5" ht="30" customHeight="1">
      <c r="A2317" s="6">
        <v>2315</v>
      </c>
      <c r="B2317" s="6" t="str">
        <f>"299420210527201440109871"</f>
        <v>299420210527201440109871</v>
      </c>
      <c r="C2317" s="6" t="s">
        <v>553</v>
      </c>
      <c r="D2317" s="6" t="str">
        <f>"许莹"</f>
        <v>许莹</v>
      </c>
      <c r="E2317" s="6" t="str">
        <f t="shared" si="80"/>
        <v>女</v>
      </c>
    </row>
    <row r="2318" spans="1:5" ht="30" customHeight="1">
      <c r="A2318" s="6">
        <v>2316</v>
      </c>
      <c r="B2318" s="6" t="str">
        <f>"299420210527202202109876"</f>
        <v>299420210527202202109876</v>
      </c>
      <c r="C2318" s="6" t="s">
        <v>553</v>
      </c>
      <c r="D2318" s="6" t="str">
        <f>"陈海燕"</f>
        <v>陈海燕</v>
      </c>
      <c r="E2318" s="6" t="str">
        <f t="shared" si="80"/>
        <v>女</v>
      </c>
    </row>
    <row r="2319" spans="1:5" ht="30" customHeight="1">
      <c r="A2319" s="6">
        <v>2317</v>
      </c>
      <c r="B2319" s="6" t="str">
        <f>"299420210527203540109893"</f>
        <v>299420210527203540109893</v>
      </c>
      <c r="C2319" s="6" t="s">
        <v>553</v>
      </c>
      <c r="D2319" s="6" t="str">
        <f>"黄通"</f>
        <v>黄通</v>
      </c>
      <c r="E2319" s="6" t="str">
        <f>"男"</f>
        <v>男</v>
      </c>
    </row>
    <row r="2320" spans="1:5" ht="30" customHeight="1">
      <c r="A2320" s="6">
        <v>2318</v>
      </c>
      <c r="B2320" s="6" t="str">
        <f>"299420210527205851109938"</f>
        <v>299420210527205851109938</v>
      </c>
      <c r="C2320" s="6" t="s">
        <v>553</v>
      </c>
      <c r="D2320" s="6" t="str">
        <f>"廖婧妮"</f>
        <v>廖婧妮</v>
      </c>
      <c r="E2320" s="6" t="str">
        <f aca="true" t="shared" si="81" ref="E2320:E2330">"女"</f>
        <v>女</v>
      </c>
    </row>
    <row r="2321" spans="1:5" ht="30" customHeight="1">
      <c r="A2321" s="6">
        <v>2319</v>
      </c>
      <c r="B2321" s="6" t="str">
        <f>"299420210527210333109945"</f>
        <v>299420210527210333109945</v>
      </c>
      <c r="C2321" s="6" t="s">
        <v>553</v>
      </c>
      <c r="D2321" s="6" t="str">
        <f>"韩婷婷"</f>
        <v>韩婷婷</v>
      </c>
      <c r="E2321" s="6" t="str">
        <f t="shared" si="81"/>
        <v>女</v>
      </c>
    </row>
    <row r="2322" spans="1:5" ht="30" customHeight="1">
      <c r="A2322" s="6">
        <v>2320</v>
      </c>
      <c r="B2322" s="6" t="str">
        <f>"299420210527210441109947"</f>
        <v>299420210527210441109947</v>
      </c>
      <c r="C2322" s="6" t="s">
        <v>553</v>
      </c>
      <c r="D2322" s="6" t="str">
        <f>"麦汉彬"</f>
        <v>麦汉彬</v>
      </c>
      <c r="E2322" s="6" t="str">
        <f t="shared" si="81"/>
        <v>女</v>
      </c>
    </row>
    <row r="2323" spans="1:5" ht="30" customHeight="1">
      <c r="A2323" s="6">
        <v>2321</v>
      </c>
      <c r="B2323" s="6" t="str">
        <f>"299420210527210959109950"</f>
        <v>299420210527210959109950</v>
      </c>
      <c r="C2323" s="6" t="s">
        <v>553</v>
      </c>
      <c r="D2323" s="6" t="str">
        <f>"蔡彩金"</f>
        <v>蔡彩金</v>
      </c>
      <c r="E2323" s="6" t="str">
        <f t="shared" si="81"/>
        <v>女</v>
      </c>
    </row>
    <row r="2324" spans="1:5" ht="30" customHeight="1">
      <c r="A2324" s="6">
        <v>2322</v>
      </c>
      <c r="B2324" s="6" t="str">
        <f>"299420210527211720109964"</f>
        <v>299420210527211720109964</v>
      </c>
      <c r="C2324" s="6" t="s">
        <v>553</v>
      </c>
      <c r="D2324" s="6" t="str">
        <f>"刘亚强"</f>
        <v>刘亚强</v>
      </c>
      <c r="E2324" s="6" t="str">
        <f t="shared" si="81"/>
        <v>女</v>
      </c>
    </row>
    <row r="2325" spans="1:5" ht="30" customHeight="1">
      <c r="A2325" s="6">
        <v>2323</v>
      </c>
      <c r="B2325" s="6" t="str">
        <f>"299420210527213635109983"</f>
        <v>299420210527213635109983</v>
      </c>
      <c r="C2325" s="6" t="s">
        <v>553</v>
      </c>
      <c r="D2325" s="6" t="str">
        <f>"吴源洁"</f>
        <v>吴源洁</v>
      </c>
      <c r="E2325" s="6" t="str">
        <f t="shared" si="81"/>
        <v>女</v>
      </c>
    </row>
    <row r="2326" spans="1:5" ht="30" customHeight="1">
      <c r="A2326" s="6">
        <v>2324</v>
      </c>
      <c r="B2326" s="6" t="str">
        <f>"299420210527213845109987"</f>
        <v>299420210527213845109987</v>
      </c>
      <c r="C2326" s="6" t="s">
        <v>553</v>
      </c>
      <c r="D2326" s="6" t="str">
        <f>"黎蕾"</f>
        <v>黎蕾</v>
      </c>
      <c r="E2326" s="6" t="str">
        <f t="shared" si="81"/>
        <v>女</v>
      </c>
    </row>
    <row r="2327" spans="1:5" ht="30" customHeight="1">
      <c r="A2327" s="6">
        <v>2325</v>
      </c>
      <c r="B2327" s="6" t="str">
        <f>"299420210527215421109999"</f>
        <v>299420210527215421109999</v>
      </c>
      <c r="C2327" s="6" t="s">
        <v>553</v>
      </c>
      <c r="D2327" s="6" t="str">
        <f>"黄保转"</f>
        <v>黄保转</v>
      </c>
      <c r="E2327" s="6" t="str">
        <f t="shared" si="81"/>
        <v>女</v>
      </c>
    </row>
    <row r="2328" spans="1:5" ht="30" customHeight="1">
      <c r="A2328" s="6">
        <v>2326</v>
      </c>
      <c r="B2328" s="6" t="str">
        <f>"299420210527224946110085"</f>
        <v>299420210527224946110085</v>
      </c>
      <c r="C2328" s="6" t="s">
        <v>553</v>
      </c>
      <c r="D2328" s="6" t="str">
        <f>"苏文丽"</f>
        <v>苏文丽</v>
      </c>
      <c r="E2328" s="6" t="str">
        <f t="shared" si="81"/>
        <v>女</v>
      </c>
    </row>
    <row r="2329" spans="1:5" ht="30" customHeight="1">
      <c r="A2329" s="6">
        <v>2327</v>
      </c>
      <c r="B2329" s="6" t="str">
        <f>"299420210527225927110102"</f>
        <v>299420210527225927110102</v>
      </c>
      <c r="C2329" s="6" t="s">
        <v>553</v>
      </c>
      <c r="D2329" s="6" t="str">
        <f>"陈蕊"</f>
        <v>陈蕊</v>
      </c>
      <c r="E2329" s="6" t="str">
        <f t="shared" si="81"/>
        <v>女</v>
      </c>
    </row>
    <row r="2330" spans="1:5" ht="30" customHeight="1">
      <c r="A2330" s="6">
        <v>2328</v>
      </c>
      <c r="B2330" s="6" t="str">
        <f>"299420210527230014110103"</f>
        <v>299420210527230014110103</v>
      </c>
      <c r="C2330" s="6" t="s">
        <v>553</v>
      </c>
      <c r="D2330" s="6" t="str">
        <f>"肖仁文"</f>
        <v>肖仁文</v>
      </c>
      <c r="E2330" s="6" t="str">
        <f t="shared" si="81"/>
        <v>女</v>
      </c>
    </row>
    <row r="2331" spans="1:5" ht="30" customHeight="1">
      <c r="A2331" s="6">
        <v>2329</v>
      </c>
      <c r="B2331" s="6" t="str">
        <f>"299420210527230747110114"</f>
        <v>299420210527230747110114</v>
      </c>
      <c r="C2331" s="6" t="s">
        <v>553</v>
      </c>
      <c r="D2331" s="6" t="str">
        <f>"陈世亮"</f>
        <v>陈世亮</v>
      </c>
      <c r="E2331" s="6" t="str">
        <f>"男"</f>
        <v>男</v>
      </c>
    </row>
    <row r="2332" spans="1:5" ht="30" customHeight="1">
      <c r="A2332" s="6">
        <v>2330</v>
      </c>
      <c r="B2332" s="6" t="str">
        <f>"299420210528001650110161"</f>
        <v>299420210528001650110161</v>
      </c>
      <c r="C2332" s="6" t="s">
        <v>553</v>
      </c>
      <c r="D2332" s="6" t="str">
        <f>"陈海珠"</f>
        <v>陈海珠</v>
      </c>
      <c r="E2332" s="6" t="str">
        <f>"女"</f>
        <v>女</v>
      </c>
    </row>
    <row r="2333" spans="1:5" ht="30" customHeight="1">
      <c r="A2333" s="6">
        <v>2331</v>
      </c>
      <c r="B2333" s="6" t="str">
        <f>"299420210528001858110163"</f>
        <v>299420210528001858110163</v>
      </c>
      <c r="C2333" s="6" t="s">
        <v>553</v>
      </c>
      <c r="D2333" s="6" t="str">
        <f>"高学寒"</f>
        <v>高学寒</v>
      </c>
      <c r="E2333" s="6" t="str">
        <f>"女"</f>
        <v>女</v>
      </c>
    </row>
    <row r="2334" spans="1:5" ht="30" customHeight="1">
      <c r="A2334" s="6">
        <v>2332</v>
      </c>
      <c r="B2334" s="6" t="str">
        <f>"299420210528005426110172"</f>
        <v>299420210528005426110172</v>
      </c>
      <c r="C2334" s="6" t="s">
        <v>553</v>
      </c>
      <c r="D2334" s="6" t="str">
        <f>"林清"</f>
        <v>林清</v>
      </c>
      <c r="E2334" s="6" t="str">
        <f>"男"</f>
        <v>男</v>
      </c>
    </row>
    <row r="2335" spans="1:5" ht="30" customHeight="1">
      <c r="A2335" s="6">
        <v>2333</v>
      </c>
      <c r="B2335" s="6" t="str">
        <f>"299420210528072853110187"</f>
        <v>299420210528072853110187</v>
      </c>
      <c r="C2335" s="6" t="s">
        <v>553</v>
      </c>
      <c r="D2335" s="6" t="str">
        <f>"周林邦"</f>
        <v>周林邦</v>
      </c>
      <c r="E2335" s="6" t="str">
        <f>"男"</f>
        <v>男</v>
      </c>
    </row>
    <row r="2336" spans="1:5" ht="30" customHeight="1">
      <c r="A2336" s="6">
        <v>2334</v>
      </c>
      <c r="B2336" s="6" t="str">
        <f>"299420210528080216110196"</f>
        <v>299420210528080216110196</v>
      </c>
      <c r="C2336" s="6" t="s">
        <v>553</v>
      </c>
      <c r="D2336" s="6" t="str">
        <f>"邓华清"</f>
        <v>邓华清</v>
      </c>
      <c r="E2336" s="6" t="str">
        <f aca="true" t="shared" si="82" ref="E2336:E2357">"女"</f>
        <v>女</v>
      </c>
    </row>
    <row r="2337" spans="1:5" ht="30" customHeight="1">
      <c r="A2337" s="6">
        <v>2335</v>
      </c>
      <c r="B2337" s="6" t="str">
        <f>"299420210528080513110198"</f>
        <v>299420210528080513110198</v>
      </c>
      <c r="C2337" s="6" t="s">
        <v>553</v>
      </c>
      <c r="D2337" s="6" t="str">
        <f>"谢昊霖"</f>
        <v>谢昊霖</v>
      </c>
      <c r="E2337" s="6" t="str">
        <f t="shared" si="82"/>
        <v>女</v>
      </c>
    </row>
    <row r="2338" spans="1:5" ht="30" customHeight="1">
      <c r="A2338" s="6">
        <v>2336</v>
      </c>
      <c r="B2338" s="6" t="str">
        <f>"299420210528081549110203"</f>
        <v>299420210528081549110203</v>
      </c>
      <c r="C2338" s="6" t="s">
        <v>553</v>
      </c>
      <c r="D2338" s="6" t="str">
        <f>"徐莉莉"</f>
        <v>徐莉莉</v>
      </c>
      <c r="E2338" s="6" t="str">
        <f t="shared" si="82"/>
        <v>女</v>
      </c>
    </row>
    <row r="2339" spans="1:5" ht="30" customHeight="1">
      <c r="A2339" s="6">
        <v>2337</v>
      </c>
      <c r="B2339" s="6" t="str">
        <f>"299420210528083454110220"</f>
        <v>299420210528083454110220</v>
      </c>
      <c r="C2339" s="6" t="s">
        <v>553</v>
      </c>
      <c r="D2339" s="6" t="str">
        <f>"梁娟"</f>
        <v>梁娟</v>
      </c>
      <c r="E2339" s="6" t="str">
        <f t="shared" si="82"/>
        <v>女</v>
      </c>
    </row>
    <row r="2340" spans="1:5" ht="30" customHeight="1">
      <c r="A2340" s="6">
        <v>2338</v>
      </c>
      <c r="B2340" s="6" t="str">
        <f>"299420210528083741110225"</f>
        <v>299420210528083741110225</v>
      </c>
      <c r="C2340" s="6" t="s">
        <v>553</v>
      </c>
      <c r="D2340" s="6" t="str">
        <f>"段夙"</f>
        <v>段夙</v>
      </c>
      <c r="E2340" s="6" t="str">
        <f t="shared" si="82"/>
        <v>女</v>
      </c>
    </row>
    <row r="2341" spans="1:5" ht="30" customHeight="1">
      <c r="A2341" s="6">
        <v>2339</v>
      </c>
      <c r="B2341" s="6" t="str">
        <f>"299420210528084229110235"</f>
        <v>299420210528084229110235</v>
      </c>
      <c r="C2341" s="6" t="s">
        <v>553</v>
      </c>
      <c r="D2341" s="6" t="str">
        <f>"朱丽平"</f>
        <v>朱丽平</v>
      </c>
      <c r="E2341" s="6" t="str">
        <f t="shared" si="82"/>
        <v>女</v>
      </c>
    </row>
    <row r="2342" spans="1:5" ht="30" customHeight="1">
      <c r="A2342" s="6">
        <v>2340</v>
      </c>
      <c r="B2342" s="6" t="str">
        <f>"299420210528090635110259"</f>
        <v>299420210528090635110259</v>
      </c>
      <c r="C2342" s="6" t="s">
        <v>553</v>
      </c>
      <c r="D2342" s="6" t="str">
        <f>"欧艳虹"</f>
        <v>欧艳虹</v>
      </c>
      <c r="E2342" s="6" t="str">
        <f t="shared" si="82"/>
        <v>女</v>
      </c>
    </row>
    <row r="2343" spans="1:5" ht="30" customHeight="1">
      <c r="A2343" s="6">
        <v>2341</v>
      </c>
      <c r="B2343" s="6" t="str">
        <f>"299420210528091123110271"</f>
        <v>299420210528091123110271</v>
      </c>
      <c r="C2343" s="6" t="s">
        <v>553</v>
      </c>
      <c r="D2343" s="6" t="str">
        <f>"卓文轩"</f>
        <v>卓文轩</v>
      </c>
      <c r="E2343" s="6" t="str">
        <f t="shared" si="82"/>
        <v>女</v>
      </c>
    </row>
    <row r="2344" spans="1:5" ht="30" customHeight="1">
      <c r="A2344" s="6">
        <v>2342</v>
      </c>
      <c r="B2344" s="6" t="str">
        <f>"299420210528091849110282"</f>
        <v>299420210528091849110282</v>
      </c>
      <c r="C2344" s="6" t="s">
        <v>553</v>
      </c>
      <c r="D2344" s="6" t="str">
        <f>"王花"</f>
        <v>王花</v>
      </c>
      <c r="E2344" s="6" t="str">
        <f t="shared" si="82"/>
        <v>女</v>
      </c>
    </row>
    <row r="2345" spans="1:5" ht="30" customHeight="1">
      <c r="A2345" s="6">
        <v>2343</v>
      </c>
      <c r="B2345" s="6" t="str">
        <f>"299420210528092737110300"</f>
        <v>299420210528092737110300</v>
      </c>
      <c r="C2345" s="6" t="s">
        <v>553</v>
      </c>
      <c r="D2345" s="6" t="str">
        <f>"刘婷"</f>
        <v>刘婷</v>
      </c>
      <c r="E2345" s="6" t="str">
        <f t="shared" si="82"/>
        <v>女</v>
      </c>
    </row>
    <row r="2346" spans="1:5" ht="30" customHeight="1">
      <c r="A2346" s="6">
        <v>2344</v>
      </c>
      <c r="B2346" s="6" t="str">
        <f>"299420210528093452110312"</f>
        <v>299420210528093452110312</v>
      </c>
      <c r="C2346" s="6" t="s">
        <v>553</v>
      </c>
      <c r="D2346" s="6" t="str">
        <f>"钟瑶"</f>
        <v>钟瑶</v>
      </c>
      <c r="E2346" s="6" t="str">
        <f t="shared" si="82"/>
        <v>女</v>
      </c>
    </row>
    <row r="2347" spans="1:5" ht="30" customHeight="1">
      <c r="A2347" s="6">
        <v>2345</v>
      </c>
      <c r="B2347" s="6" t="str">
        <f>"299420210528093702110316"</f>
        <v>299420210528093702110316</v>
      </c>
      <c r="C2347" s="6" t="s">
        <v>553</v>
      </c>
      <c r="D2347" s="6" t="str">
        <f>"郑向虹"</f>
        <v>郑向虹</v>
      </c>
      <c r="E2347" s="6" t="str">
        <f t="shared" si="82"/>
        <v>女</v>
      </c>
    </row>
    <row r="2348" spans="1:5" ht="30" customHeight="1">
      <c r="A2348" s="6">
        <v>2346</v>
      </c>
      <c r="B2348" s="6" t="str">
        <f>"299420210528094217110327"</f>
        <v>299420210528094217110327</v>
      </c>
      <c r="C2348" s="6" t="s">
        <v>553</v>
      </c>
      <c r="D2348" s="6" t="str">
        <f>"符式姣"</f>
        <v>符式姣</v>
      </c>
      <c r="E2348" s="6" t="str">
        <f t="shared" si="82"/>
        <v>女</v>
      </c>
    </row>
    <row r="2349" spans="1:5" ht="30" customHeight="1">
      <c r="A2349" s="6">
        <v>2347</v>
      </c>
      <c r="B2349" s="6" t="str">
        <f>"299420210528094408110334"</f>
        <v>299420210528094408110334</v>
      </c>
      <c r="C2349" s="6" t="s">
        <v>553</v>
      </c>
      <c r="D2349" s="6" t="str">
        <f>"陈令"</f>
        <v>陈令</v>
      </c>
      <c r="E2349" s="6" t="str">
        <f t="shared" si="82"/>
        <v>女</v>
      </c>
    </row>
    <row r="2350" spans="1:5" ht="30" customHeight="1">
      <c r="A2350" s="6">
        <v>2348</v>
      </c>
      <c r="B2350" s="6" t="str">
        <f>"299420210528095038110345"</f>
        <v>299420210528095038110345</v>
      </c>
      <c r="C2350" s="6" t="s">
        <v>553</v>
      </c>
      <c r="D2350" s="6" t="str">
        <f>"胡莉芬"</f>
        <v>胡莉芬</v>
      </c>
      <c r="E2350" s="6" t="str">
        <f t="shared" si="82"/>
        <v>女</v>
      </c>
    </row>
    <row r="2351" spans="1:5" ht="30" customHeight="1">
      <c r="A2351" s="6">
        <v>2349</v>
      </c>
      <c r="B2351" s="6" t="str">
        <f>"299420210528100853110377"</f>
        <v>299420210528100853110377</v>
      </c>
      <c r="C2351" s="6" t="s">
        <v>553</v>
      </c>
      <c r="D2351" s="6" t="str">
        <f>"符坤足"</f>
        <v>符坤足</v>
      </c>
      <c r="E2351" s="6" t="str">
        <f t="shared" si="82"/>
        <v>女</v>
      </c>
    </row>
    <row r="2352" spans="1:5" ht="30" customHeight="1">
      <c r="A2352" s="6">
        <v>2350</v>
      </c>
      <c r="B2352" s="6" t="str">
        <f>"299420210528101023110379"</f>
        <v>299420210528101023110379</v>
      </c>
      <c r="C2352" s="6" t="s">
        <v>553</v>
      </c>
      <c r="D2352" s="6" t="str">
        <f>"谭良灵"</f>
        <v>谭良灵</v>
      </c>
      <c r="E2352" s="6" t="str">
        <f t="shared" si="82"/>
        <v>女</v>
      </c>
    </row>
    <row r="2353" spans="1:5" ht="30" customHeight="1">
      <c r="A2353" s="6">
        <v>2351</v>
      </c>
      <c r="B2353" s="6" t="str">
        <f>"299420210528101510110385"</f>
        <v>299420210528101510110385</v>
      </c>
      <c r="C2353" s="6" t="s">
        <v>553</v>
      </c>
      <c r="D2353" s="6" t="str">
        <f>"林晶丽"</f>
        <v>林晶丽</v>
      </c>
      <c r="E2353" s="6" t="str">
        <f t="shared" si="82"/>
        <v>女</v>
      </c>
    </row>
    <row r="2354" spans="1:5" ht="30" customHeight="1">
      <c r="A2354" s="6">
        <v>2352</v>
      </c>
      <c r="B2354" s="6" t="str">
        <f>"299420210528101728110389"</f>
        <v>299420210528101728110389</v>
      </c>
      <c r="C2354" s="6" t="s">
        <v>553</v>
      </c>
      <c r="D2354" s="6" t="str">
        <f>"肖丁雪"</f>
        <v>肖丁雪</v>
      </c>
      <c r="E2354" s="6" t="str">
        <f t="shared" si="82"/>
        <v>女</v>
      </c>
    </row>
    <row r="2355" spans="1:5" ht="30" customHeight="1">
      <c r="A2355" s="6">
        <v>2353</v>
      </c>
      <c r="B2355" s="6" t="str">
        <f>"299420210528101842110392"</f>
        <v>299420210528101842110392</v>
      </c>
      <c r="C2355" s="6" t="s">
        <v>553</v>
      </c>
      <c r="D2355" s="6" t="str">
        <f>"郭梦雅"</f>
        <v>郭梦雅</v>
      </c>
      <c r="E2355" s="6" t="str">
        <f t="shared" si="82"/>
        <v>女</v>
      </c>
    </row>
    <row r="2356" spans="1:5" ht="30" customHeight="1">
      <c r="A2356" s="6">
        <v>2354</v>
      </c>
      <c r="B2356" s="6" t="str">
        <f>"299420210528101927110394"</f>
        <v>299420210528101927110394</v>
      </c>
      <c r="C2356" s="6" t="s">
        <v>553</v>
      </c>
      <c r="D2356" s="6" t="str">
        <f>"邝红英"</f>
        <v>邝红英</v>
      </c>
      <c r="E2356" s="6" t="str">
        <f t="shared" si="82"/>
        <v>女</v>
      </c>
    </row>
    <row r="2357" spans="1:5" ht="30" customHeight="1">
      <c r="A2357" s="6">
        <v>2355</v>
      </c>
      <c r="B2357" s="6" t="str">
        <f>"299420210528102043110397"</f>
        <v>299420210528102043110397</v>
      </c>
      <c r="C2357" s="6" t="s">
        <v>553</v>
      </c>
      <c r="D2357" s="6" t="str">
        <f>"赵利琴"</f>
        <v>赵利琴</v>
      </c>
      <c r="E2357" s="6" t="str">
        <f t="shared" si="82"/>
        <v>女</v>
      </c>
    </row>
    <row r="2358" spans="1:5" ht="30" customHeight="1">
      <c r="A2358" s="6">
        <v>2356</v>
      </c>
      <c r="B2358" s="6" t="str">
        <f>"299420210528102203110401"</f>
        <v>299420210528102203110401</v>
      </c>
      <c r="C2358" s="6" t="s">
        <v>553</v>
      </c>
      <c r="D2358" s="6" t="str">
        <f>"王录武"</f>
        <v>王录武</v>
      </c>
      <c r="E2358" s="6" t="str">
        <f>"男"</f>
        <v>男</v>
      </c>
    </row>
    <row r="2359" spans="1:5" ht="30" customHeight="1">
      <c r="A2359" s="6">
        <v>2357</v>
      </c>
      <c r="B2359" s="6" t="str">
        <f>"299420210528102245110406"</f>
        <v>299420210528102245110406</v>
      </c>
      <c r="C2359" s="6" t="s">
        <v>553</v>
      </c>
      <c r="D2359" s="6" t="str">
        <f>"吴啟军"</f>
        <v>吴啟军</v>
      </c>
      <c r="E2359" s="6" t="str">
        <f>"男"</f>
        <v>男</v>
      </c>
    </row>
    <row r="2360" spans="1:5" ht="30" customHeight="1">
      <c r="A2360" s="6">
        <v>2358</v>
      </c>
      <c r="B2360" s="6" t="str">
        <f>"299420210528103141110421"</f>
        <v>299420210528103141110421</v>
      </c>
      <c r="C2360" s="6" t="s">
        <v>553</v>
      </c>
      <c r="D2360" s="6" t="str">
        <f>"张俊颖"</f>
        <v>张俊颖</v>
      </c>
      <c r="E2360" s="6" t="str">
        <f>"女"</f>
        <v>女</v>
      </c>
    </row>
    <row r="2361" spans="1:5" ht="30" customHeight="1">
      <c r="A2361" s="6">
        <v>2359</v>
      </c>
      <c r="B2361" s="6" t="str">
        <f>"299420210528103858110434"</f>
        <v>299420210528103858110434</v>
      </c>
      <c r="C2361" s="6" t="s">
        <v>553</v>
      </c>
      <c r="D2361" s="6" t="str">
        <f>"冼恩嫚"</f>
        <v>冼恩嫚</v>
      </c>
      <c r="E2361" s="6" t="str">
        <f>"女"</f>
        <v>女</v>
      </c>
    </row>
    <row r="2362" spans="1:5" ht="30" customHeight="1">
      <c r="A2362" s="6">
        <v>2360</v>
      </c>
      <c r="B2362" s="6" t="str">
        <f>"299420210528104230110439"</f>
        <v>299420210528104230110439</v>
      </c>
      <c r="C2362" s="6" t="s">
        <v>553</v>
      </c>
      <c r="D2362" s="6" t="str">
        <f>"邹宇春"</f>
        <v>邹宇春</v>
      </c>
      <c r="E2362" s="6" t="str">
        <f>"女"</f>
        <v>女</v>
      </c>
    </row>
    <row r="2363" spans="1:5" ht="30" customHeight="1">
      <c r="A2363" s="6">
        <v>2361</v>
      </c>
      <c r="B2363" s="6" t="str">
        <f>"299420210528104437110448"</f>
        <v>299420210528104437110448</v>
      </c>
      <c r="C2363" s="6" t="s">
        <v>553</v>
      </c>
      <c r="D2363" s="6" t="str">
        <f>"汤玉棋"</f>
        <v>汤玉棋</v>
      </c>
      <c r="E2363" s="6" t="str">
        <f>"男"</f>
        <v>男</v>
      </c>
    </row>
    <row r="2364" spans="1:5" ht="30" customHeight="1">
      <c r="A2364" s="6">
        <v>2362</v>
      </c>
      <c r="B2364" s="6" t="str">
        <f>"299420210528105024110463"</f>
        <v>299420210528105024110463</v>
      </c>
      <c r="C2364" s="6" t="s">
        <v>553</v>
      </c>
      <c r="D2364" s="6" t="str">
        <f>"伍丹"</f>
        <v>伍丹</v>
      </c>
      <c r="E2364" s="6" t="str">
        <f aca="true" t="shared" si="83" ref="E2364:E2369">"女"</f>
        <v>女</v>
      </c>
    </row>
    <row r="2365" spans="1:5" ht="30" customHeight="1">
      <c r="A2365" s="6">
        <v>2363</v>
      </c>
      <c r="B2365" s="6" t="str">
        <f>"299420210528105756110477"</f>
        <v>299420210528105756110477</v>
      </c>
      <c r="C2365" s="6" t="s">
        <v>553</v>
      </c>
      <c r="D2365" s="6" t="str">
        <f>"邝丽豪"</f>
        <v>邝丽豪</v>
      </c>
      <c r="E2365" s="6" t="str">
        <f t="shared" si="83"/>
        <v>女</v>
      </c>
    </row>
    <row r="2366" spans="1:5" ht="30" customHeight="1">
      <c r="A2366" s="6">
        <v>2364</v>
      </c>
      <c r="B2366" s="6" t="str">
        <f>"299420210528110845110494"</f>
        <v>299420210528110845110494</v>
      </c>
      <c r="C2366" s="6" t="s">
        <v>553</v>
      </c>
      <c r="D2366" s="6" t="str">
        <f>"李慧"</f>
        <v>李慧</v>
      </c>
      <c r="E2366" s="6" t="str">
        <f t="shared" si="83"/>
        <v>女</v>
      </c>
    </row>
    <row r="2367" spans="1:5" ht="30" customHeight="1">
      <c r="A2367" s="6">
        <v>2365</v>
      </c>
      <c r="B2367" s="6" t="str">
        <f>"299420210528113016110525"</f>
        <v>299420210528113016110525</v>
      </c>
      <c r="C2367" s="6" t="s">
        <v>553</v>
      </c>
      <c r="D2367" s="6" t="str">
        <f>"周华妹"</f>
        <v>周华妹</v>
      </c>
      <c r="E2367" s="6" t="str">
        <f t="shared" si="83"/>
        <v>女</v>
      </c>
    </row>
    <row r="2368" spans="1:5" ht="30" customHeight="1">
      <c r="A2368" s="6">
        <v>2366</v>
      </c>
      <c r="B2368" s="6" t="str">
        <f>"299420210528113314110528"</f>
        <v>299420210528113314110528</v>
      </c>
      <c r="C2368" s="6" t="s">
        <v>553</v>
      </c>
      <c r="D2368" s="6" t="str">
        <f>"周玉清"</f>
        <v>周玉清</v>
      </c>
      <c r="E2368" s="6" t="str">
        <f t="shared" si="83"/>
        <v>女</v>
      </c>
    </row>
    <row r="2369" spans="1:5" ht="30" customHeight="1">
      <c r="A2369" s="6">
        <v>2367</v>
      </c>
      <c r="B2369" s="6" t="str">
        <f>"299420210528113406110531"</f>
        <v>299420210528113406110531</v>
      </c>
      <c r="C2369" s="6" t="s">
        <v>553</v>
      </c>
      <c r="D2369" s="6" t="str">
        <f>"王美成"</f>
        <v>王美成</v>
      </c>
      <c r="E2369" s="6" t="str">
        <f t="shared" si="83"/>
        <v>女</v>
      </c>
    </row>
    <row r="2370" spans="1:5" ht="30" customHeight="1">
      <c r="A2370" s="6">
        <v>2368</v>
      </c>
      <c r="B2370" s="6" t="str">
        <f>"299420210528113846110539"</f>
        <v>299420210528113846110539</v>
      </c>
      <c r="C2370" s="6" t="s">
        <v>553</v>
      </c>
      <c r="D2370" s="6" t="str">
        <f>"周家麒"</f>
        <v>周家麒</v>
      </c>
      <c r="E2370" s="6" t="str">
        <f>"男"</f>
        <v>男</v>
      </c>
    </row>
    <row r="2371" spans="1:5" ht="30" customHeight="1">
      <c r="A2371" s="6">
        <v>2369</v>
      </c>
      <c r="B2371" s="6" t="str">
        <f>"299420210528114414110548"</f>
        <v>299420210528114414110548</v>
      </c>
      <c r="C2371" s="6" t="s">
        <v>553</v>
      </c>
      <c r="D2371" s="6" t="str">
        <f>"夏春妃"</f>
        <v>夏春妃</v>
      </c>
      <c r="E2371" s="6" t="str">
        <f>"女"</f>
        <v>女</v>
      </c>
    </row>
    <row r="2372" spans="1:5" ht="30" customHeight="1">
      <c r="A2372" s="6">
        <v>2370</v>
      </c>
      <c r="B2372" s="6" t="str">
        <f>"299420210528114457110550"</f>
        <v>299420210528114457110550</v>
      </c>
      <c r="C2372" s="6" t="s">
        <v>553</v>
      </c>
      <c r="D2372" s="6" t="str">
        <f>"刘俊泽"</f>
        <v>刘俊泽</v>
      </c>
      <c r="E2372" s="6" t="str">
        <f>"男"</f>
        <v>男</v>
      </c>
    </row>
    <row r="2373" spans="1:5" ht="30" customHeight="1">
      <c r="A2373" s="6">
        <v>2371</v>
      </c>
      <c r="B2373" s="6" t="str">
        <f>"299420210528115246110557"</f>
        <v>299420210528115246110557</v>
      </c>
      <c r="C2373" s="6" t="s">
        <v>553</v>
      </c>
      <c r="D2373" s="6" t="str">
        <f>"何雪娇"</f>
        <v>何雪娇</v>
      </c>
      <c r="E2373" s="6" t="str">
        <f aca="true" t="shared" si="84" ref="E2373:E2384">"女"</f>
        <v>女</v>
      </c>
    </row>
    <row r="2374" spans="1:5" ht="30" customHeight="1">
      <c r="A2374" s="6">
        <v>2372</v>
      </c>
      <c r="B2374" s="6" t="str">
        <f>"299420210528122813110594"</f>
        <v>299420210528122813110594</v>
      </c>
      <c r="C2374" s="6" t="s">
        <v>553</v>
      </c>
      <c r="D2374" s="6" t="str">
        <f>"杨妃妃"</f>
        <v>杨妃妃</v>
      </c>
      <c r="E2374" s="6" t="str">
        <f t="shared" si="84"/>
        <v>女</v>
      </c>
    </row>
    <row r="2375" spans="1:5" ht="30" customHeight="1">
      <c r="A2375" s="6">
        <v>2373</v>
      </c>
      <c r="B2375" s="6" t="str">
        <f>"299420210528122927110598"</f>
        <v>299420210528122927110598</v>
      </c>
      <c r="C2375" s="6" t="s">
        <v>553</v>
      </c>
      <c r="D2375" s="6" t="str">
        <f>"何员华"</f>
        <v>何员华</v>
      </c>
      <c r="E2375" s="6" t="str">
        <f t="shared" si="84"/>
        <v>女</v>
      </c>
    </row>
    <row r="2376" spans="1:5" ht="30" customHeight="1">
      <c r="A2376" s="6">
        <v>2374</v>
      </c>
      <c r="B2376" s="6" t="str">
        <f>"299420210528123116110600"</f>
        <v>299420210528123116110600</v>
      </c>
      <c r="C2376" s="6" t="s">
        <v>553</v>
      </c>
      <c r="D2376" s="6" t="str">
        <f>"林莉红"</f>
        <v>林莉红</v>
      </c>
      <c r="E2376" s="6" t="str">
        <f t="shared" si="84"/>
        <v>女</v>
      </c>
    </row>
    <row r="2377" spans="1:5" ht="30" customHeight="1">
      <c r="A2377" s="6">
        <v>2375</v>
      </c>
      <c r="B2377" s="6" t="str">
        <f>"299420210528123413110608"</f>
        <v>299420210528123413110608</v>
      </c>
      <c r="C2377" s="6" t="s">
        <v>553</v>
      </c>
      <c r="D2377" s="6" t="str">
        <f>"羊敏"</f>
        <v>羊敏</v>
      </c>
      <c r="E2377" s="6" t="str">
        <f t="shared" si="84"/>
        <v>女</v>
      </c>
    </row>
    <row r="2378" spans="1:5" ht="30" customHeight="1">
      <c r="A2378" s="6">
        <v>2376</v>
      </c>
      <c r="B2378" s="6" t="str">
        <f>"299420210528123546110612"</f>
        <v>299420210528123546110612</v>
      </c>
      <c r="C2378" s="6" t="s">
        <v>553</v>
      </c>
      <c r="D2378" s="6" t="str">
        <f>"李兴乾"</f>
        <v>李兴乾</v>
      </c>
      <c r="E2378" s="6" t="str">
        <f t="shared" si="84"/>
        <v>女</v>
      </c>
    </row>
    <row r="2379" spans="1:5" ht="30" customHeight="1">
      <c r="A2379" s="6">
        <v>2377</v>
      </c>
      <c r="B2379" s="6" t="str">
        <f>"299420210528124816110632"</f>
        <v>299420210528124816110632</v>
      </c>
      <c r="C2379" s="6" t="s">
        <v>553</v>
      </c>
      <c r="D2379" s="6" t="str">
        <f>"李华丽"</f>
        <v>李华丽</v>
      </c>
      <c r="E2379" s="6" t="str">
        <f t="shared" si="84"/>
        <v>女</v>
      </c>
    </row>
    <row r="2380" spans="1:5" ht="30" customHeight="1">
      <c r="A2380" s="6">
        <v>2378</v>
      </c>
      <c r="B2380" s="6" t="str">
        <f>"299420210528125808110650"</f>
        <v>299420210528125808110650</v>
      </c>
      <c r="C2380" s="6" t="s">
        <v>553</v>
      </c>
      <c r="D2380" s="6" t="str">
        <f>"王小妹"</f>
        <v>王小妹</v>
      </c>
      <c r="E2380" s="6" t="str">
        <f t="shared" si="84"/>
        <v>女</v>
      </c>
    </row>
    <row r="2381" spans="1:5" ht="30" customHeight="1">
      <c r="A2381" s="6">
        <v>2379</v>
      </c>
      <c r="B2381" s="6" t="str">
        <f>"299420210528130050110654"</f>
        <v>299420210528130050110654</v>
      </c>
      <c r="C2381" s="6" t="s">
        <v>553</v>
      </c>
      <c r="D2381" s="6" t="str">
        <f>"吴鸾燕"</f>
        <v>吴鸾燕</v>
      </c>
      <c r="E2381" s="6" t="str">
        <f t="shared" si="84"/>
        <v>女</v>
      </c>
    </row>
    <row r="2382" spans="1:5" ht="30" customHeight="1">
      <c r="A2382" s="6">
        <v>2380</v>
      </c>
      <c r="B2382" s="6" t="str">
        <f>"299420210528130621110667"</f>
        <v>299420210528130621110667</v>
      </c>
      <c r="C2382" s="6" t="s">
        <v>553</v>
      </c>
      <c r="D2382" s="6" t="str">
        <f>"陈东婷"</f>
        <v>陈东婷</v>
      </c>
      <c r="E2382" s="6" t="str">
        <f t="shared" si="84"/>
        <v>女</v>
      </c>
    </row>
    <row r="2383" spans="1:5" ht="30" customHeight="1">
      <c r="A2383" s="6">
        <v>2381</v>
      </c>
      <c r="B2383" s="6" t="str">
        <f>"299420210528132415110690"</f>
        <v>299420210528132415110690</v>
      </c>
      <c r="C2383" s="6" t="s">
        <v>553</v>
      </c>
      <c r="D2383" s="6" t="str">
        <f>"向钰叶"</f>
        <v>向钰叶</v>
      </c>
      <c r="E2383" s="6" t="str">
        <f t="shared" si="84"/>
        <v>女</v>
      </c>
    </row>
    <row r="2384" spans="1:5" ht="30" customHeight="1">
      <c r="A2384" s="6">
        <v>2382</v>
      </c>
      <c r="B2384" s="6" t="str">
        <f>"299420210528133351110710"</f>
        <v>299420210528133351110710</v>
      </c>
      <c r="C2384" s="6" t="s">
        <v>553</v>
      </c>
      <c r="D2384" s="6" t="str">
        <f>"曾秀强"</f>
        <v>曾秀强</v>
      </c>
      <c r="E2384" s="6" t="str">
        <f t="shared" si="84"/>
        <v>女</v>
      </c>
    </row>
    <row r="2385" spans="1:5" ht="30" customHeight="1">
      <c r="A2385" s="6">
        <v>2383</v>
      </c>
      <c r="B2385" s="6" t="str">
        <f>"299420210528141531110762"</f>
        <v>299420210528141531110762</v>
      </c>
      <c r="C2385" s="6" t="s">
        <v>553</v>
      </c>
      <c r="D2385" s="6" t="str">
        <f>"陈税"</f>
        <v>陈税</v>
      </c>
      <c r="E2385" s="6" t="str">
        <f>"男"</f>
        <v>男</v>
      </c>
    </row>
    <row r="2386" spans="1:5" ht="30" customHeight="1">
      <c r="A2386" s="6">
        <v>2384</v>
      </c>
      <c r="B2386" s="6" t="str">
        <f>"299420210528142540110770"</f>
        <v>299420210528142540110770</v>
      </c>
      <c r="C2386" s="6" t="s">
        <v>553</v>
      </c>
      <c r="D2386" s="6" t="str">
        <f>"全思遥"</f>
        <v>全思遥</v>
      </c>
      <c r="E2386" s="6" t="str">
        <f aca="true" t="shared" si="85" ref="E2386:E2402">"女"</f>
        <v>女</v>
      </c>
    </row>
    <row r="2387" spans="1:5" ht="30" customHeight="1">
      <c r="A2387" s="6">
        <v>2385</v>
      </c>
      <c r="B2387" s="6" t="str">
        <f>"299420210528144836110796"</f>
        <v>299420210528144836110796</v>
      </c>
      <c r="C2387" s="6" t="s">
        <v>553</v>
      </c>
      <c r="D2387" s="6" t="str">
        <f>"陈忠妹"</f>
        <v>陈忠妹</v>
      </c>
      <c r="E2387" s="6" t="str">
        <f t="shared" si="85"/>
        <v>女</v>
      </c>
    </row>
    <row r="2388" spans="1:5" ht="30" customHeight="1">
      <c r="A2388" s="6">
        <v>2386</v>
      </c>
      <c r="B2388" s="6" t="str">
        <f>"299420210528151154110828"</f>
        <v>299420210528151154110828</v>
      </c>
      <c r="C2388" s="6" t="s">
        <v>553</v>
      </c>
      <c r="D2388" s="6" t="str">
        <f>"高小敏"</f>
        <v>高小敏</v>
      </c>
      <c r="E2388" s="6" t="str">
        <f t="shared" si="85"/>
        <v>女</v>
      </c>
    </row>
    <row r="2389" spans="1:5" ht="30" customHeight="1">
      <c r="A2389" s="6">
        <v>2387</v>
      </c>
      <c r="B2389" s="6" t="str">
        <f>"299420210528151756110840"</f>
        <v>299420210528151756110840</v>
      </c>
      <c r="C2389" s="6" t="s">
        <v>553</v>
      </c>
      <c r="D2389" s="6" t="str">
        <f>"吴带竹"</f>
        <v>吴带竹</v>
      </c>
      <c r="E2389" s="6" t="str">
        <f t="shared" si="85"/>
        <v>女</v>
      </c>
    </row>
    <row r="2390" spans="1:5" ht="30" customHeight="1">
      <c r="A2390" s="6">
        <v>2388</v>
      </c>
      <c r="B2390" s="6" t="str">
        <f>"299420210528152815110851"</f>
        <v>299420210528152815110851</v>
      </c>
      <c r="C2390" s="6" t="s">
        <v>553</v>
      </c>
      <c r="D2390" s="6" t="str">
        <f>"吴梅皎"</f>
        <v>吴梅皎</v>
      </c>
      <c r="E2390" s="6" t="str">
        <f t="shared" si="85"/>
        <v>女</v>
      </c>
    </row>
    <row r="2391" spans="1:5" ht="30" customHeight="1">
      <c r="A2391" s="6">
        <v>2389</v>
      </c>
      <c r="B2391" s="6" t="str">
        <f>"299420210528154009110870"</f>
        <v>299420210528154009110870</v>
      </c>
      <c r="C2391" s="6" t="s">
        <v>553</v>
      </c>
      <c r="D2391" s="6" t="str">
        <f>"曹莉"</f>
        <v>曹莉</v>
      </c>
      <c r="E2391" s="6" t="str">
        <f t="shared" si="85"/>
        <v>女</v>
      </c>
    </row>
    <row r="2392" spans="1:5" ht="30" customHeight="1">
      <c r="A2392" s="6">
        <v>2390</v>
      </c>
      <c r="B2392" s="6" t="str">
        <f>"299420210528154415110878"</f>
        <v>299420210528154415110878</v>
      </c>
      <c r="C2392" s="6" t="s">
        <v>553</v>
      </c>
      <c r="D2392" s="6" t="str">
        <f>"翁诗瑜"</f>
        <v>翁诗瑜</v>
      </c>
      <c r="E2392" s="6" t="str">
        <f t="shared" si="85"/>
        <v>女</v>
      </c>
    </row>
    <row r="2393" spans="1:5" ht="30" customHeight="1">
      <c r="A2393" s="6">
        <v>2391</v>
      </c>
      <c r="B2393" s="6" t="str">
        <f>"299420210528155039110890"</f>
        <v>299420210528155039110890</v>
      </c>
      <c r="C2393" s="6" t="s">
        <v>553</v>
      </c>
      <c r="D2393" s="6" t="str">
        <f>"林小强"</f>
        <v>林小强</v>
      </c>
      <c r="E2393" s="6" t="str">
        <f t="shared" si="85"/>
        <v>女</v>
      </c>
    </row>
    <row r="2394" spans="1:5" ht="30" customHeight="1">
      <c r="A2394" s="6">
        <v>2392</v>
      </c>
      <c r="B2394" s="6" t="str">
        <f>"299420210528155335110894"</f>
        <v>299420210528155335110894</v>
      </c>
      <c r="C2394" s="6" t="s">
        <v>553</v>
      </c>
      <c r="D2394" s="6" t="str">
        <f>"吴丽雯"</f>
        <v>吴丽雯</v>
      </c>
      <c r="E2394" s="6" t="str">
        <f t="shared" si="85"/>
        <v>女</v>
      </c>
    </row>
    <row r="2395" spans="1:5" ht="30" customHeight="1">
      <c r="A2395" s="6">
        <v>2393</v>
      </c>
      <c r="B2395" s="6" t="str">
        <f>"299420210528160557110912"</f>
        <v>299420210528160557110912</v>
      </c>
      <c r="C2395" s="6" t="s">
        <v>553</v>
      </c>
      <c r="D2395" s="6" t="str">
        <f>"许永兰"</f>
        <v>许永兰</v>
      </c>
      <c r="E2395" s="6" t="str">
        <f t="shared" si="85"/>
        <v>女</v>
      </c>
    </row>
    <row r="2396" spans="1:5" ht="30" customHeight="1">
      <c r="A2396" s="6">
        <v>2394</v>
      </c>
      <c r="B2396" s="6" t="str">
        <f>"299420210528160737110917"</f>
        <v>299420210528160737110917</v>
      </c>
      <c r="C2396" s="6" t="s">
        <v>553</v>
      </c>
      <c r="D2396" s="6" t="str">
        <f>"卓小白"</f>
        <v>卓小白</v>
      </c>
      <c r="E2396" s="6" t="str">
        <f t="shared" si="85"/>
        <v>女</v>
      </c>
    </row>
    <row r="2397" spans="1:5" ht="30" customHeight="1">
      <c r="A2397" s="6">
        <v>2395</v>
      </c>
      <c r="B2397" s="6" t="str">
        <f>"299420210528162744110938"</f>
        <v>299420210528162744110938</v>
      </c>
      <c r="C2397" s="6" t="s">
        <v>553</v>
      </c>
      <c r="D2397" s="6" t="str">
        <f>"李伊果"</f>
        <v>李伊果</v>
      </c>
      <c r="E2397" s="6" t="str">
        <f t="shared" si="85"/>
        <v>女</v>
      </c>
    </row>
    <row r="2398" spans="1:5" ht="30" customHeight="1">
      <c r="A2398" s="6">
        <v>2396</v>
      </c>
      <c r="B2398" s="6" t="str">
        <f>"299420210528162908110943"</f>
        <v>299420210528162908110943</v>
      </c>
      <c r="C2398" s="6" t="s">
        <v>553</v>
      </c>
      <c r="D2398" s="6" t="str">
        <f>"唐海玲"</f>
        <v>唐海玲</v>
      </c>
      <c r="E2398" s="6" t="str">
        <f t="shared" si="85"/>
        <v>女</v>
      </c>
    </row>
    <row r="2399" spans="1:5" ht="30" customHeight="1">
      <c r="A2399" s="6">
        <v>2397</v>
      </c>
      <c r="B2399" s="6" t="str">
        <f>"299420210528162943110945"</f>
        <v>299420210528162943110945</v>
      </c>
      <c r="C2399" s="6" t="s">
        <v>553</v>
      </c>
      <c r="D2399" s="6" t="str">
        <f>"王琼丁"</f>
        <v>王琼丁</v>
      </c>
      <c r="E2399" s="6" t="str">
        <f t="shared" si="85"/>
        <v>女</v>
      </c>
    </row>
    <row r="2400" spans="1:5" ht="30" customHeight="1">
      <c r="A2400" s="6">
        <v>2398</v>
      </c>
      <c r="B2400" s="6" t="str">
        <f>"299420210528163100110949"</f>
        <v>299420210528163100110949</v>
      </c>
      <c r="C2400" s="6" t="s">
        <v>553</v>
      </c>
      <c r="D2400" s="6" t="str">
        <f>"王云霞"</f>
        <v>王云霞</v>
      </c>
      <c r="E2400" s="6" t="str">
        <f t="shared" si="85"/>
        <v>女</v>
      </c>
    </row>
    <row r="2401" spans="1:5" ht="30" customHeight="1">
      <c r="A2401" s="6">
        <v>2399</v>
      </c>
      <c r="B2401" s="6" t="str">
        <f>"299420210528163156110952"</f>
        <v>299420210528163156110952</v>
      </c>
      <c r="C2401" s="6" t="s">
        <v>553</v>
      </c>
      <c r="D2401" s="6" t="str">
        <f>"吴清雅"</f>
        <v>吴清雅</v>
      </c>
      <c r="E2401" s="6" t="str">
        <f t="shared" si="85"/>
        <v>女</v>
      </c>
    </row>
    <row r="2402" spans="1:5" ht="30" customHeight="1">
      <c r="A2402" s="6">
        <v>2400</v>
      </c>
      <c r="B2402" s="6" t="str">
        <f>"299420210528163243110956"</f>
        <v>299420210528163243110956</v>
      </c>
      <c r="C2402" s="6" t="s">
        <v>553</v>
      </c>
      <c r="D2402" s="6" t="str">
        <f>"符丽叶"</f>
        <v>符丽叶</v>
      </c>
      <c r="E2402" s="6" t="str">
        <f t="shared" si="85"/>
        <v>女</v>
      </c>
    </row>
    <row r="2403" spans="1:5" ht="30" customHeight="1">
      <c r="A2403" s="6">
        <v>2401</v>
      </c>
      <c r="B2403" s="6" t="str">
        <f>"299420210528164204110966"</f>
        <v>299420210528164204110966</v>
      </c>
      <c r="C2403" s="6" t="s">
        <v>553</v>
      </c>
      <c r="D2403" s="6" t="str">
        <f>"黄宝慷"</f>
        <v>黄宝慷</v>
      </c>
      <c r="E2403" s="6" t="str">
        <f>"男"</f>
        <v>男</v>
      </c>
    </row>
    <row r="2404" spans="1:5" ht="30" customHeight="1">
      <c r="A2404" s="6">
        <v>2402</v>
      </c>
      <c r="B2404" s="6" t="str">
        <f>"299420210528165748110987"</f>
        <v>299420210528165748110987</v>
      </c>
      <c r="C2404" s="6" t="s">
        <v>553</v>
      </c>
      <c r="D2404" s="6" t="str">
        <f>"吴金美"</f>
        <v>吴金美</v>
      </c>
      <c r="E2404" s="6" t="str">
        <f>"女"</f>
        <v>女</v>
      </c>
    </row>
    <row r="2405" spans="1:5" ht="30" customHeight="1">
      <c r="A2405" s="6">
        <v>2403</v>
      </c>
      <c r="B2405" s="6" t="str">
        <f>"299420210528171230111007"</f>
        <v>299420210528171230111007</v>
      </c>
      <c r="C2405" s="6" t="s">
        <v>553</v>
      </c>
      <c r="D2405" s="6" t="str">
        <f>"李清秀"</f>
        <v>李清秀</v>
      </c>
      <c r="E2405" s="6" t="str">
        <f>"女"</f>
        <v>女</v>
      </c>
    </row>
    <row r="2406" spans="1:5" ht="30" customHeight="1">
      <c r="A2406" s="6">
        <v>2404</v>
      </c>
      <c r="B2406" s="6" t="str">
        <f>"299420210528172203111014"</f>
        <v>299420210528172203111014</v>
      </c>
      <c r="C2406" s="6" t="s">
        <v>553</v>
      </c>
      <c r="D2406" s="6" t="str">
        <f>"吕智院"</f>
        <v>吕智院</v>
      </c>
      <c r="E2406" s="6" t="str">
        <f>"男"</f>
        <v>男</v>
      </c>
    </row>
    <row r="2407" spans="1:5" ht="30" customHeight="1">
      <c r="A2407" s="6">
        <v>2405</v>
      </c>
      <c r="B2407" s="6" t="str">
        <f>"299420210528172543111022"</f>
        <v>299420210528172543111022</v>
      </c>
      <c r="C2407" s="6" t="s">
        <v>553</v>
      </c>
      <c r="D2407" s="6" t="str">
        <f>"黄贻凤"</f>
        <v>黄贻凤</v>
      </c>
      <c r="E2407" s="6" t="str">
        <f aca="true" t="shared" si="86" ref="E2407:E2446">"女"</f>
        <v>女</v>
      </c>
    </row>
    <row r="2408" spans="1:5" ht="30" customHeight="1">
      <c r="A2408" s="6">
        <v>2406</v>
      </c>
      <c r="B2408" s="6" t="str">
        <f>"299420210528175204111061"</f>
        <v>299420210528175204111061</v>
      </c>
      <c r="C2408" s="6" t="s">
        <v>553</v>
      </c>
      <c r="D2408" s="6" t="str">
        <f>"陈秋玲"</f>
        <v>陈秋玲</v>
      </c>
      <c r="E2408" s="6" t="str">
        <f t="shared" si="86"/>
        <v>女</v>
      </c>
    </row>
    <row r="2409" spans="1:5" ht="30" customHeight="1">
      <c r="A2409" s="6">
        <v>2407</v>
      </c>
      <c r="B2409" s="6" t="str">
        <f>"299420210528180102111071"</f>
        <v>299420210528180102111071</v>
      </c>
      <c r="C2409" s="6" t="s">
        <v>553</v>
      </c>
      <c r="D2409" s="6" t="str">
        <f>"王燕巧"</f>
        <v>王燕巧</v>
      </c>
      <c r="E2409" s="6" t="str">
        <f t="shared" si="86"/>
        <v>女</v>
      </c>
    </row>
    <row r="2410" spans="1:5" ht="30" customHeight="1">
      <c r="A2410" s="6">
        <v>2408</v>
      </c>
      <c r="B2410" s="6" t="str">
        <f>"299420210528181242111086"</f>
        <v>299420210528181242111086</v>
      </c>
      <c r="C2410" s="6" t="s">
        <v>553</v>
      </c>
      <c r="D2410" s="6" t="str">
        <f>"吴丽婷"</f>
        <v>吴丽婷</v>
      </c>
      <c r="E2410" s="6" t="str">
        <f t="shared" si="86"/>
        <v>女</v>
      </c>
    </row>
    <row r="2411" spans="1:5" ht="30" customHeight="1">
      <c r="A2411" s="6">
        <v>2409</v>
      </c>
      <c r="B2411" s="6" t="str">
        <f>"299420210528181751111096"</f>
        <v>299420210528181751111096</v>
      </c>
      <c r="C2411" s="6" t="s">
        <v>553</v>
      </c>
      <c r="D2411" s="6" t="str">
        <f>"文丽曼"</f>
        <v>文丽曼</v>
      </c>
      <c r="E2411" s="6" t="str">
        <f t="shared" si="86"/>
        <v>女</v>
      </c>
    </row>
    <row r="2412" spans="1:5" ht="30" customHeight="1">
      <c r="A2412" s="6">
        <v>2410</v>
      </c>
      <c r="B2412" s="6" t="str">
        <f>"299420210528185256111124"</f>
        <v>299420210528185256111124</v>
      </c>
      <c r="C2412" s="6" t="s">
        <v>553</v>
      </c>
      <c r="D2412" s="6" t="str">
        <f>"吴秀兰"</f>
        <v>吴秀兰</v>
      </c>
      <c r="E2412" s="6" t="str">
        <f t="shared" si="86"/>
        <v>女</v>
      </c>
    </row>
    <row r="2413" spans="1:5" ht="30" customHeight="1">
      <c r="A2413" s="6">
        <v>2411</v>
      </c>
      <c r="B2413" s="6" t="str">
        <f>"299420210528185817111130"</f>
        <v>299420210528185817111130</v>
      </c>
      <c r="C2413" s="6" t="s">
        <v>553</v>
      </c>
      <c r="D2413" s="6" t="str">
        <f>"陈琳"</f>
        <v>陈琳</v>
      </c>
      <c r="E2413" s="6" t="str">
        <f t="shared" si="86"/>
        <v>女</v>
      </c>
    </row>
    <row r="2414" spans="1:5" ht="30" customHeight="1">
      <c r="A2414" s="6">
        <v>2412</v>
      </c>
      <c r="B2414" s="6" t="str">
        <f>"299420210528191209111149"</f>
        <v>299420210528191209111149</v>
      </c>
      <c r="C2414" s="6" t="s">
        <v>553</v>
      </c>
      <c r="D2414" s="6" t="str">
        <f>"谢春凤"</f>
        <v>谢春凤</v>
      </c>
      <c r="E2414" s="6" t="str">
        <f t="shared" si="86"/>
        <v>女</v>
      </c>
    </row>
    <row r="2415" spans="1:5" ht="30" customHeight="1">
      <c r="A2415" s="6">
        <v>2413</v>
      </c>
      <c r="B2415" s="6" t="str">
        <f>"299420210528193733111169"</f>
        <v>299420210528193733111169</v>
      </c>
      <c r="C2415" s="6" t="s">
        <v>553</v>
      </c>
      <c r="D2415" s="6" t="str">
        <f>"张晓铃"</f>
        <v>张晓铃</v>
      </c>
      <c r="E2415" s="6" t="str">
        <f t="shared" si="86"/>
        <v>女</v>
      </c>
    </row>
    <row r="2416" spans="1:5" ht="30" customHeight="1">
      <c r="A2416" s="6">
        <v>2414</v>
      </c>
      <c r="B2416" s="6" t="str">
        <f>"299420210528203013111208"</f>
        <v>299420210528203013111208</v>
      </c>
      <c r="C2416" s="6" t="s">
        <v>553</v>
      </c>
      <c r="D2416" s="6" t="str">
        <f>"韩雪"</f>
        <v>韩雪</v>
      </c>
      <c r="E2416" s="6" t="str">
        <f t="shared" si="86"/>
        <v>女</v>
      </c>
    </row>
    <row r="2417" spans="1:5" ht="30" customHeight="1">
      <c r="A2417" s="6">
        <v>2415</v>
      </c>
      <c r="B2417" s="6" t="str">
        <f>"299420210528204952111229"</f>
        <v>299420210528204952111229</v>
      </c>
      <c r="C2417" s="6" t="s">
        <v>553</v>
      </c>
      <c r="D2417" s="6" t="str">
        <f>"孟柳青"</f>
        <v>孟柳青</v>
      </c>
      <c r="E2417" s="6" t="str">
        <f t="shared" si="86"/>
        <v>女</v>
      </c>
    </row>
    <row r="2418" spans="1:5" ht="30" customHeight="1">
      <c r="A2418" s="6">
        <v>2416</v>
      </c>
      <c r="B2418" s="6" t="str">
        <f>"299420210528205422111231"</f>
        <v>299420210528205422111231</v>
      </c>
      <c r="C2418" s="6" t="s">
        <v>553</v>
      </c>
      <c r="D2418" s="6" t="str">
        <f>"林明艳"</f>
        <v>林明艳</v>
      </c>
      <c r="E2418" s="6" t="str">
        <f t="shared" si="86"/>
        <v>女</v>
      </c>
    </row>
    <row r="2419" spans="1:5" ht="30" customHeight="1">
      <c r="A2419" s="6">
        <v>2417</v>
      </c>
      <c r="B2419" s="6" t="str">
        <f>"299420210528210125111235"</f>
        <v>299420210528210125111235</v>
      </c>
      <c r="C2419" s="6" t="s">
        <v>553</v>
      </c>
      <c r="D2419" s="6" t="str">
        <f>"梁晓丹"</f>
        <v>梁晓丹</v>
      </c>
      <c r="E2419" s="6" t="str">
        <f t="shared" si="86"/>
        <v>女</v>
      </c>
    </row>
    <row r="2420" spans="1:5" ht="30" customHeight="1">
      <c r="A2420" s="6">
        <v>2418</v>
      </c>
      <c r="B2420" s="6" t="str">
        <f>"299420210528210232111238"</f>
        <v>299420210528210232111238</v>
      </c>
      <c r="C2420" s="6" t="s">
        <v>553</v>
      </c>
      <c r="D2420" s="6" t="str">
        <f>"王炎炎"</f>
        <v>王炎炎</v>
      </c>
      <c r="E2420" s="6" t="str">
        <f t="shared" si="86"/>
        <v>女</v>
      </c>
    </row>
    <row r="2421" spans="1:5" ht="30" customHeight="1">
      <c r="A2421" s="6">
        <v>2419</v>
      </c>
      <c r="B2421" s="6" t="str">
        <f>"299420210528210548111241"</f>
        <v>299420210528210548111241</v>
      </c>
      <c r="C2421" s="6" t="s">
        <v>553</v>
      </c>
      <c r="D2421" s="6" t="str">
        <f>"张雪"</f>
        <v>张雪</v>
      </c>
      <c r="E2421" s="6" t="str">
        <f t="shared" si="86"/>
        <v>女</v>
      </c>
    </row>
    <row r="2422" spans="1:5" ht="30" customHeight="1">
      <c r="A2422" s="6">
        <v>2420</v>
      </c>
      <c r="B2422" s="6" t="str">
        <f>"299420210528211827111251"</f>
        <v>299420210528211827111251</v>
      </c>
      <c r="C2422" s="6" t="s">
        <v>553</v>
      </c>
      <c r="D2422" s="6" t="str">
        <f>"李敏"</f>
        <v>李敏</v>
      </c>
      <c r="E2422" s="6" t="str">
        <f t="shared" si="86"/>
        <v>女</v>
      </c>
    </row>
    <row r="2423" spans="1:5" ht="30" customHeight="1">
      <c r="A2423" s="6">
        <v>2421</v>
      </c>
      <c r="B2423" s="6" t="str">
        <f>"299420210528212104111256"</f>
        <v>299420210528212104111256</v>
      </c>
      <c r="C2423" s="6" t="s">
        <v>553</v>
      </c>
      <c r="D2423" s="6" t="str">
        <f>"吴雯雯"</f>
        <v>吴雯雯</v>
      </c>
      <c r="E2423" s="6" t="str">
        <f t="shared" si="86"/>
        <v>女</v>
      </c>
    </row>
    <row r="2424" spans="1:5" ht="30" customHeight="1">
      <c r="A2424" s="6">
        <v>2422</v>
      </c>
      <c r="B2424" s="6" t="str">
        <f>"299420210528215904111287"</f>
        <v>299420210528215904111287</v>
      </c>
      <c r="C2424" s="6" t="s">
        <v>553</v>
      </c>
      <c r="D2424" s="6" t="str">
        <f>"冯芬"</f>
        <v>冯芬</v>
      </c>
      <c r="E2424" s="6" t="str">
        <f t="shared" si="86"/>
        <v>女</v>
      </c>
    </row>
    <row r="2425" spans="1:5" ht="30" customHeight="1">
      <c r="A2425" s="6">
        <v>2423</v>
      </c>
      <c r="B2425" s="6" t="str">
        <f>"299420210528220022111288"</f>
        <v>299420210528220022111288</v>
      </c>
      <c r="C2425" s="6" t="s">
        <v>553</v>
      </c>
      <c r="D2425" s="6" t="str">
        <f>"胡正汝"</f>
        <v>胡正汝</v>
      </c>
      <c r="E2425" s="6" t="str">
        <f t="shared" si="86"/>
        <v>女</v>
      </c>
    </row>
    <row r="2426" spans="1:5" ht="30" customHeight="1">
      <c r="A2426" s="6">
        <v>2424</v>
      </c>
      <c r="B2426" s="6" t="str">
        <f>"299420210528220640111296"</f>
        <v>299420210528220640111296</v>
      </c>
      <c r="C2426" s="6" t="s">
        <v>553</v>
      </c>
      <c r="D2426" s="6" t="str">
        <f>"卓怀珍"</f>
        <v>卓怀珍</v>
      </c>
      <c r="E2426" s="6" t="str">
        <f t="shared" si="86"/>
        <v>女</v>
      </c>
    </row>
    <row r="2427" spans="1:5" ht="30" customHeight="1">
      <c r="A2427" s="6">
        <v>2425</v>
      </c>
      <c r="B2427" s="6" t="str">
        <f>"299420210528223539111322"</f>
        <v>299420210528223539111322</v>
      </c>
      <c r="C2427" s="6" t="s">
        <v>553</v>
      </c>
      <c r="D2427" s="6" t="str">
        <f>"陈海霞"</f>
        <v>陈海霞</v>
      </c>
      <c r="E2427" s="6" t="str">
        <f t="shared" si="86"/>
        <v>女</v>
      </c>
    </row>
    <row r="2428" spans="1:5" ht="30" customHeight="1">
      <c r="A2428" s="6">
        <v>2426</v>
      </c>
      <c r="B2428" s="6" t="str">
        <f>"299420210528225431111339"</f>
        <v>299420210528225431111339</v>
      </c>
      <c r="C2428" s="6" t="s">
        <v>553</v>
      </c>
      <c r="D2428" s="6" t="str">
        <f>"李媛"</f>
        <v>李媛</v>
      </c>
      <c r="E2428" s="6" t="str">
        <f t="shared" si="86"/>
        <v>女</v>
      </c>
    </row>
    <row r="2429" spans="1:5" ht="30" customHeight="1">
      <c r="A2429" s="6">
        <v>2427</v>
      </c>
      <c r="B2429" s="6" t="str">
        <f>"299420210528230032111341"</f>
        <v>299420210528230032111341</v>
      </c>
      <c r="C2429" s="6" t="s">
        <v>553</v>
      </c>
      <c r="D2429" s="6" t="str">
        <f>"孔芙先"</f>
        <v>孔芙先</v>
      </c>
      <c r="E2429" s="6" t="str">
        <f t="shared" si="86"/>
        <v>女</v>
      </c>
    </row>
    <row r="2430" spans="1:5" ht="30" customHeight="1">
      <c r="A2430" s="6">
        <v>2428</v>
      </c>
      <c r="B2430" s="6" t="str">
        <f>"299420210528234804111371"</f>
        <v>299420210528234804111371</v>
      </c>
      <c r="C2430" s="6" t="s">
        <v>553</v>
      </c>
      <c r="D2430" s="6" t="str">
        <f>"陈和云"</f>
        <v>陈和云</v>
      </c>
      <c r="E2430" s="6" t="str">
        <f t="shared" si="86"/>
        <v>女</v>
      </c>
    </row>
    <row r="2431" spans="1:5" ht="30" customHeight="1">
      <c r="A2431" s="6">
        <v>2429</v>
      </c>
      <c r="B2431" s="6" t="str">
        <f>"299420210529075550111411"</f>
        <v>299420210529075550111411</v>
      </c>
      <c r="C2431" s="6" t="s">
        <v>553</v>
      </c>
      <c r="D2431" s="6" t="str">
        <f>"董莲英"</f>
        <v>董莲英</v>
      </c>
      <c r="E2431" s="6" t="str">
        <f t="shared" si="86"/>
        <v>女</v>
      </c>
    </row>
    <row r="2432" spans="1:5" ht="30" customHeight="1">
      <c r="A2432" s="6">
        <v>2430</v>
      </c>
      <c r="B2432" s="6" t="str">
        <f>"299420210529081300111413"</f>
        <v>299420210529081300111413</v>
      </c>
      <c r="C2432" s="6" t="s">
        <v>553</v>
      </c>
      <c r="D2432" s="6" t="str">
        <f>"储雅琦"</f>
        <v>储雅琦</v>
      </c>
      <c r="E2432" s="6" t="str">
        <f t="shared" si="86"/>
        <v>女</v>
      </c>
    </row>
    <row r="2433" spans="1:5" ht="30" customHeight="1">
      <c r="A2433" s="6">
        <v>2431</v>
      </c>
      <c r="B2433" s="6" t="str">
        <f>"299420210529082743111417"</f>
        <v>299420210529082743111417</v>
      </c>
      <c r="C2433" s="6" t="s">
        <v>553</v>
      </c>
      <c r="D2433" s="6" t="str">
        <f>"李敏"</f>
        <v>李敏</v>
      </c>
      <c r="E2433" s="6" t="str">
        <f t="shared" si="86"/>
        <v>女</v>
      </c>
    </row>
    <row r="2434" spans="1:5" ht="30" customHeight="1">
      <c r="A2434" s="6">
        <v>2432</v>
      </c>
      <c r="B2434" s="6" t="str">
        <f>"299420210529090944111435"</f>
        <v>299420210529090944111435</v>
      </c>
      <c r="C2434" s="6" t="s">
        <v>553</v>
      </c>
      <c r="D2434" s="6" t="str">
        <f>"苏美玲"</f>
        <v>苏美玲</v>
      </c>
      <c r="E2434" s="6" t="str">
        <f t="shared" si="86"/>
        <v>女</v>
      </c>
    </row>
    <row r="2435" spans="1:5" ht="30" customHeight="1">
      <c r="A2435" s="6">
        <v>2433</v>
      </c>
      <c r="B2435" s="6" t="str">
        <f>"299420210529093700111450"</f>
        <v>299420210529093700111450</v>
      </c>
      <c r="C2435" s="6" t="s">
        <v>553</v>
      </c>
      <c r="D2435" s="6" t="str">
        <f>"董吉芬"</f>
        <v>董吉芬</v>
      </c>
      <c r="E2435" s="6" t="str">
        <f t="shared" si="86"/>
        <v>女</v>
      </c>
    </row>
    <row r="2436" spans="1:5" ht="30" customHeight="1">
      <c r="A2436" s="6">
        <v>2434</v>
      </c>
      <c r="B2436" s="6" t="str">
        <f>"299420210529094054111453"</f>
        <v>299420210529094054111453</v>
      </c>
      <c r="C2436" s="6" t="s">
        <v>553</v>
      </c>
      <c r="D2436" s="6" t="str">
        <f>"吉思源"</f>
        <v>吉思源</v>
      </c>
      <c r="E2436" s="6" t="str">
        <f t="shared" si="86"/>
        <v>女</v>
      </c>
    </row>
    <row r="2437" spans="1:5" ht="30" customHeight="1">
      <c r="A2437" s="6">
        <v>2435</v>
      </c>
      <c r="B2437" s="6" t="str">
        <f>"299420210529095709111461"</f>
        <v>299420210529095709111461</v>
      </c>
      <c r="C2437" s="6" t="s">
        <v>553</v>
      </c>
      <c r="D2437" s="6" t="str">
        <f>"李亚雪"</f>
        <v>李亚雪</v>
      </c>
      <c r="E2437" s="6" t="str">
        <f t="shared" si="86"/>
        <v>女</v>
      </c>
    </row>
    <row r="2438" spans="1:5" ht="30" customHeight="1">
      <c r="A2438" s="6">
        <v>2436</v>
      </c>
      <c r="B2438" s="6" t="str">
        <f>"299420210529101200111471"</f>
        <v>299420210529101200111471</v>
      </c>
      <c r="C2438" s="6" t="s">
        <v>553</v>
      </c>
      <c r="D2438" s="6" t="str">
        <f>"张华荣"</f>
        <v>张华荣</v>
      </c>
      <c r="E2438" s="6" t="str">
        <f t="shared" si="86"/>
        <v>女</v>
      </c>
    </row>
    <row r="2439" spans="1:5" ht="30" customHeight="1">
      <c r="A2439" s="6">
        <v>2437</v>
      </c>
      <c r="B2439" s="6" t="str">
        <f>"299420210529102312111483"</f>
        <v>299420210529102312111483</v>
      </c>
      <c r="C2439" s="6" t="s">
        <v>553</v>
      </c>
      <c r="D2439" s="6" t="str">
        <f>"王丽燕"</f>
        <v>王丽燕</v>
      </c>
      <c r="E2439" s="6" t="str">
        <f t="shared" si="86"/>
        <v>女</v>
      </c>
    </row>
    <row r="2440" spans="1:5" ht="30" customHeight="1">
      <c r="A2440" s="6">
        <v>2438</v>
      </c>
      <c r="B2440" s="6" t="str">
        <f>"299420210529104640111512"</f>
        <v>299420210529104640111512</v>
      </c>
      <c r="C2440" s="6" t="s">
        <v>553</v>
      </c>
      <c r="D2440" s="6" t="str">
        <f>"李祖燕"</f>
        <v>李祖燕</v>
      </c>
      <c r="E2440" s="6" t="str">
        <f t="shared" si="86"/>
        <v>女</v>
      </c>
    </row>
    <row r="2441" spans="1:5" ht="30" customHeight="1">
      <c r="A2441" s="6">
        <v>2439</v>
      </c>
      <c r="B2441" s="6" t="str">
        <f>"299420210529110907111534"</f>
        <v>299420210529110907111534</v>
      </c>
      <c r="C2441" s="6" t="s">
        <v>553</v>
      </c>
      <c r="D2441" s="6" t="str">
        <f>"王文婷"</f>
        <v>王文婷</v>
      </c>
      <c r="E2441" s="6" t="str">
        <f t="shared" si="86"/>
        <v>女</v>
      </c>
    </row>
    <row r="2442" spans="1:5" ht="30" customHeight="1">
      <c r="A2442" s="6">
        <v>2440</v>
      </c>
      <c r="B2442" s="6" t="str">
        <f>"299420210529111635111541"</f>
        <v>299420210529111635111541</v>
      </c>
      <c r="C2442" s="6" t="s">
        <v>553</v>
      </c>
      <c r="D2442" s="6" t="str">
        <f>"董小爱"</f>
        <v>董小爱</v>
      </c>
      <c r="E2442" s="6" t="str">
        <f t="shared" si="86"/>
        <v>女</v>
      </c>
    </row>
    <row r="2443" spans="1:5" ht="30" customHeight="1">
      <c r="A2443" s="6">
        <v>2441</v>
      </c>
      <c r="B2443" s="6" t="str">
        <f>"299420210529111928111546"</f>
        <v>299420210529111928111546</v>
      </c>
      <c r="C2443" s="6" t="s">
        <v>553</v>
      </c>
      <c r="D2443" s="6" t="str">
        <f>"谭小姣"</f>
        <v>谭小姣</v>
      </c>
      <c r="E2443" s="6" t="str">
        <f t="shared" si="86"/>
        <v>女</v>
      </c>
    </row>
    <row r="2444" spans="1:5" ht="30" customHeight="1">
      <c r="A2444" s="6">
        <v>2442</v>
      </c>
      <c r="B2444" s="6" t="str">
        <f>"299420210529112305111551"</f>
        <v>299420210529112305111551</v>
      </c>
      <c r="C2444" s="6" t="s">
        <v>553</v>
      </c>
      <c r="D2444" s="6" t="str">
        <f>"薛小荣"</f>
        <v>薛小荣</v>
      </c>
      <c r="E2444" s="6" t="str">
        <f t="shared" si="86"/>
        <v>女</v>
      </c>
    </row>
    <row r="2445" spans="1:5" ht="30" customHeight="1">
      <c r="A2445" s="6">
        <v>2443</v>
      </c>
      <c r="B2445" s="6" t="str">
        <f>"299420210529112541111554"</f>
        <v>299420210529112541111554</v>
      </c>
      <c r="C2445" s="6" t="s">
        <v>553</v>
      </c>
      <c r="D2445" s="6" t="str">
        <f>"罗小星"</f>
        <v>罗小星</v>
      </c>
      <c r="E2445" s="6" t="str">
        <f t="shared" si="86"/>
        <v>女</v>
      </c>
    </row>
    <row r="2446" spans="1:5" ht="30" customHeight="1">
      <c r="A2446" s="6">
        <v>2444</v>
      </c>
      <c r="B2446" s="6" t="str">
        <f>"299420210529112908111557"</f>
        <v>299420210529112908111557</v>
      </c>
      <c r="C2446" s="6" t="s">
        <v>553</v>
      </c>
      <c r="D2446" s="6" t="str">
        <f>"李银铃"</f>
        <v>李银铃</v>
      </c>
      <c r="E2446" s="6" t="str">
        <f t="shared" si="86"/>
        <v>女</v>
      </c>
    </row>
    <row r="2447" spans="1:5" ht="30" customHeight="1">
      <c r="A2447" s="6">
        <v>2445</v>
      </c>
      <c r="B2447" s="6" t="str">
        <f>"299420210529120643111594"</f>
        <v>299420210529120643111594</v>
      </c>
      <c r="C2447" s="6" t="s">
        <v>553</v>
      </c>
      <c r="D2447" s="6" t="str">
        <f>"林明宏"</f>
        <v>林明宏</v>
      </c>
      <c r="E2447" s="6" t="str">
        <f>"男"</f>
        <v>男</v>
      </c>
    </row>
    <row r="2448" spans="1:5" ht="30" customHeight="1">
      <c r="A2448" s="6">
        <v>2446</v>
      </c>
      <c r="B2448" s="6" t="str">
        <f>"299420210529121752111600"</f>
        <v>299420210529121752111600</v>
      </c>
      <c r="C2448" s="6" t="s">
        <v>553</v>
      </c>
      <c r="D2448" s="6" t="str">
        <f>"周乃超"</f>
        <v>周乃超</v>
      </c>
      <c r="E2448" s="6" t="str">
        <f>"男"</f>
        <v>男</v>
      </c>
    </row>
    <row r="2449" spans="1:5" ht="30" customHeight="1">
      <c r="A2449" s="6">
        <v>2447</v>
      </c>
      <c r="B2449" s="6" t="str">
        <f>"299420210529122046111603"</f>
        <v>299420210529122046111603</v>
      </c>
      <c r="C2449" s="6" t="s">
        <v>553</v>
      </c>
      <c r="D2449" s="6" t="str">
        <f>"秦子茹"</f>
        <v>秦子茹</v>
      </c>
      <c r="E2449" s="6" t="str">
        <f aca="true" t="shared" si="87" ref="E2449:E2479">"女"</f>
        <v>女</v>
      </c>
    </row>
    <row r="2450" spans="1:5" ht="30" customHeight="1">
      <c r="A2450" s="6">
        <v>2448</v>
      </c>
      <c r="B2450" s="6" t="str">
        <f>"299420210529130709111630"</f>
        <v>299420210529130709111630</v>
      </c>
      <c r="C2450" s="6" t="s">
        <v>553</v>
      </c>
      <c r="D2450" s="6" t="str">
        <f>"杨飞燕"</f>
        <v>杨飞燕</v>
      </c>
      <c r="E2450" s="6" t="str">
        <f t="shared" si="87"/>
        <v>女</v>
      </c>
    </row>
    <row r="2451" spans="1:5" ht="30" customHeight="1">
      <c r="A2451" s="6">
        <v>2449</v>
      </c>
      <c r="B2451" s="6" t="str">
        <f>"299420210529130907111632"</f>
        <v>299420210529130907111632</v>
      </c>
      <c r="C2451" s="6" t="s">
        <v>553</v>
      </c>
      <c r="D2451" s="6" t="str">
        <f>"文琼妹"</f>
        <v>文琼妹</v>
      </c>
      <c r="E2451" s="6" t="str">
        <f t="shared" si="87"/>
        <v>女</v>
      </c>
    </row>
    <row r="2452" spans="1:5" ht="30" customHeight="1">
      <c r="A2452" s="6">
        <v>2450</v>
      </c>
      <c r="B2452" s="6" t="str">
        <f>"299420210529142056111679"</f>
        <v>299420210529142056111679</v>
      </c>
      <c r="C2452" s="6" t="s">
        <v>553</v>
      </c>
      <c r="D2452" s="6" t="str">
        <f>"曾娇玉"</f>
        <v>曾娇玉</v>
      </c>
      <c r="E2452" s="6" t="str">
        <f t="shared" si="87"/>
        <v>女</v>
      </c>
    </row>
    <row r="2453" spans="1:5" ht="30" customHeight="1">
      <c r="A2453" s="6">
        <v>2451</v>
      </c>
      <c r="B2453" s="6" t="str">
        <f>"299420210529145230111690"</f>
        <v>299420210529145230111690</v>
      </c>
      <c r="C2453" s="6" t="s">
        <v>553</v>
      </c>
      <c r="D2453" s="6" t="str">
        <f>"符妍"</f>
        <v>符妍</v>
      </c>
      <c r="E2453" s="6" t="str">
        <f t="shared" si="87"/>
        <v>女</v>
      </c>
    </row>
    <row r="2454" spans="1:5" ht="30" customHeight="1">
      <c r="A2454" s="6">
        <v>2452</v>
      </c>
      <c r="B2454" s="6" t="str">
        <f>"299420210529161411111742"</f>
        <v>299420210529161411111742</v>
      </c>
      <c r="C2454" s="6" t="s">
        <v>553</v>
      </c>
      <c r="D2454" s="6" t="str">
        <f>"陈丽美"</f>
        <v>陈丽美</v>
      </c>
      <c r="E2454" s="6" t="str">
        <f t="shared" si="87"/>
        <v>女</v>
      </c>
    </row>
    <row r="2455" spans="1:5" ht="30" customHeight="1">
      <c r="A2455" s="6">
        <v>2453</v>
      </c>
      <c r="B2455" s="6" t="str">
        <f>"299420210529162308111746"</f>
        <v>299420210529162308111746</v>
      </c>
      <c r="C2455" s="6" t="s">
        <v>553</v>
      </c>
      <c r="D2455" s="6" t="str">
        <f>"肖淑妮"</f>
        <v>肖淑妮</v>
      </c>
      <c r="E2455" s="6" t="str">
        <f t="shared" si="87"/>
        <v>女</v>
      </c>
    </row>
    <row r="2456" spans="1:5" ht="30" customHeight="1">
      <c r="A2456" s="6">
        <v>2454</v>
      </c>
      <c r="B2456" s="6" t="str">
        <f>"299420210529171131111775"</f>
        <v>299420210529171131111775</v>
      </c>
      <c r="C2456" s="6" t="s">
        <v>553</v>
      </c>
      <c r="D2456" s="6" t="str">
        <f>"陈雪"</f>
        <v>陈雪</v>
      </c>
      <c r="E2456" s="6" t="str">
        <f t="shared" si="87"/>
        <v>女</v>
      </c>
    </row>
    <row r="2457" spans="1:5" ht="30" customHeight="1">
      <c r="A2457" s="6">
        <v>2455</v>
      </c>
      <c r="B2457" s="6" t="str">
        <f>"299420210529171351111779"</f>
        <v>299420210529171351111779</v>
      </c>
      <c r="C2457" s="6" t="s">
        <v>553</v>
      </c>
      <c r="D2457" s="6" t="str">
        <f>"羊有秋"</f>
        <v>羊有秋</v>
      </c>
      <c r="E2457" s="6" t="str">
        <f t="shared" si="87"/>
        <v>女</v>
      </c>
    </row>
    <row r="2458" spans="1:5" ht="30" customHeight="1">
      <c r="A2458" s="6">
        <v>2456</v>
      </c>
      <c r="B2458" s="6" t="str">
        <f>"299420210529173929111792"</f>
        <v>299420210529173929111792</v>
      </c>
      <c r="C2458" s="6" t="s">
        <v>553</v>
      </c>
      <c r="D2458" s="6" t="str">
        <f>"周水连"</f>
        <v>周水连</v>
      </c>
      <c r="E2458" s="6" t="str">
        <f t="shared" si="87"/>
        <v>女</v>
      </c>
    </row>
    <row r="2459" spans="1:5" ht="30" customHeight="1">
      <c r="A2459" s="6">
        <v>2457</v>
      </c>
      <c r="B2459" s="6" t="str">
        <f>"299420210529181135111811"</f>
        <v>299420210529181135111811</v>
      </c>
      <c r="C2459" s="6" t="s">
        <v>553</v>
      </c>
      <c r="D2459" s="6" t="str">
        <f>"李江玲"</f>
        <v>李江玲</v>
      </c>
      <c r="E2459" s="6" t="str">
        <f t="shared" si="87"/>
        <v>女</v>
      </c>
    </row>
    <row r="2460" spans="1:5" ht="30" customHeight="1">
      <c r="A2460" s="6">
        <v>2458</v>
      </c>
      <c r="B2460" s="6" t="str">
        <f>"299420210529182657111817"</f>
        <v>299420210529182657111817</v>
      </c>
      <c r="C2460" s="6" t="s">
        <v>553</v>
      </c>
      <c r="D2460" s="6" t="str">
        <f>"张鼎丽"</f>
        <v>张鼎丽</v>
      </c>
      <c r="E2460" s="6" t="str">
        <f t="shared" si="87"/>
        <v>女</v>
      </c>
    </row>
    <row r="2461" spans="1:5" ht="30" customHeight="1">
      <c r="A2461" s="6">
        <v>2459</v>
      </c>
      <c r="B2461" s="6" t="str">
        <f>"299420210529183313111824"</f>
        <v>299420210529183313111824</v>
      </c>
      <c r="C2461" s="6" t="s">
        <v>553</v>
      </c>
      <c r="D2461" s="6" t="str">
        <f>"孙宜英"</f>
        <v>孙宜英</v>
      </c>
      <c r="E2461" s="6" t="str">
        <f t="shared" si="87"/>
        <v>女</v>
      </c>
    </row>
    <row r="2462" spans="1:5" ht="30" customHeight="1">
      <c r="A2462" s="6">
        <v>2460</v>
      </c>
      <c r="B2462" s="6" t="str">
        <f>"299420210529185711111833"</f>
        <v>299420210529185711111833</v>
      </c>
      <c r="C2462" s="6" t="s">
        <v>553</v>
      </c>
      <c r="D2462" s="6" t="str">
        <f>"何婵云"</f>
        <v>何婵云</v>
      </c>
      <c r="E2462" s="6" t="str">
        <f t="shared" si="87"/>
        <v>女</v>
      </c>
    </row>
    <row r="2463" spans="1:5" ht="30" customHeight="1">
      <c r="A2463" s="6">
        <v>2461</v>
      </c>
      <c r="B2463" s="6" t="str">
        <f>"299420210529194505111850"</f>
        <v>299420210529194505111850</v>
      </c>
      <c r="C2463" s="6" t="s">
        <v>553</v>
      </c>
      <c r="D2463" s="6" t="str">
        <f>"许桂英"</f>
        <v>许桂英</v>
      </c>
      <c r="E2463" s="6" t="str">
        <f t="shared" si="87"/>
        <v>女</v>
      </c>
    </row>
    <row r="2464" spans="1:5" ht="30" customHeight="1">
      <c r="A2464" s="6">
        <v>2462</v>
      </c>
      <c r="B2464" s="6" t="str">
        <f>"299420210529200556111863"</f>
        <v>299420210529200556111863</v>
      </c>
      <c r="C2464" s="6" t="s">
        <v>553</v>
      </c>
      <c r="D2464" s="6" t="str">
        <f>"莫斯婷"</f>
        <v>莫斯婷</v>
      </c>
      <c r="E2464" s="6" t="str">
        <f t="shared" si="87"/>
        <v>女</v>
      </c>
    </row>
    <row r="2465" spans="1:5" ht="30" customHeight="1">
      <c r="A2465" s="6">
        <v>2463</v>
      </c>
      <c r="B2465" s="6" t="str">
        <f>"299420210529212911111919"</f>
        <v>299420210529212911111919</v>
      </c>
      <c r="C2465" s="6" t="s">
        <v>553</v>
      </c>
      <c r="D2465" s="6" t="str">
        <f>"王爱花"</f>
        <v>王爱花</v>
      </c>
      <c r="E2465" s="6" t="str">
        <f t="shared" si="87"/>
        <v>女</v>
      </c>
    </row>
    <row r="2466" spans="1:5" ht="30" customHeight="1">
      <c r="A2466" s="6">
        <v>2464</v>
      </c>
      <c r="B2466" s="6" t="str">
        <f>"299420210529213314111925"</f>
        <v>299420210529213314111925</v>
      </c>
      <c r="C2466" s="6" t="s">
        <v>553</v>
      </c>
      <c r="D2466" s="6" t="str">
        <f>"李其珊"</f>
        <v>李其珊</v>
      </c>
      <c r="E2466" s="6" t="str">
        <f t="shared" si="87"/>
        <v>女</v>
      </c>
    </row>
    <row r="2467" spans="1:5" ht="30" customHeight="1">
      <c r="A2467" s="6">
        <v>2465</v>
      </c>
      <c r="B2467" s="6" t="str">
        <f>"299420210529213917111929"</f>
        <v>299420210529213917111929</v>
      </c>
      <c r="C2467" s="6" t="s">
        <v>553</v>
      </c>
      <c r="D2467" s="6" t="str">
        <f>"王海萍"</f>
        <v>王海萍</v>
      </c>
      <c r="E2467" s="6" t="str">
        <f t="shared" si="87"/>
        <v>女</v>
      </c>
    </row>
    <row r="2468" spans="1:5" ht="30" customHeight="1">
      <c r="A2468" s="6">
        <v>2466</v>
      </c>
      <c r="B2468" s="6" t="str">
        <f>"299420210529214255111933"</f>
        <v>299420210529214255111933</v>
      </c>
      <c r="C2468" s="6" t="s">
        <v>553</v>
      </c>
      <c r="D2468" s="6" t="str">
        <f>"王艳姗"</f>
        <v>王艳姗</v>
      </c>
      <c r="E2468" s="6" t="str">
        <f t="shared" si="87"/>
        <v>女</v>
      </c>
    </row>
    <row r="2469" spans="1:5" ht="30" customHeight="1">
      <c r="A2469" s="6">
        <v>2467</v>
      </c>
      <c r="B2469" s="6" t="str">
        <f>"299420210529221847111959"</f>
        <v>299420210529221847111959</v>
      </c>
      <c r="C2469" s="6" t="s">
        <v>553</v>
      </c>
      <c r="D2469" s="6" t="str">
        <f>"梁二苑"</f>
        <v>梁二苑</v>
      </c>
      <c r="E2469" s="6" t="str">
        <f t="shared" si="87"/>
        <v>女</v>
      </c>
    </row>
    <row r="2470" spans="1:5" ht="30" customHeight="1">
      <c r="A2470" s="6">
        <v>2468</v>
      </c>
      <c r="B2470" s="6" t="str">
        <f>"299420210529221853111960"</f>
        <v>299420210529221853111960</v>
      </c>
      <c r="C2470" s="6" t="s">
        <v>553</v>
      </c>
      <c r="D2470" s="6" t="str">
        <f>"郑霞霞"</f>
        <v>郑霞霞</v>
      </c>
      <c r="E2470" s="6" t="str">
        <f t="shared" si="87"/>
        <v>女</v>
      </c>
    </row>
    <row r="2471" spans="1:5" ht="30" customHeight="1">
      <c r="A2471" s="6">
        <v>2469</v>
      </c>
      <c r="B2471" s="6" t="str">
        <f>"299420210529224720111978"</f>
        <v>299420210529224720111978</v>
      </c>
      <c r="C2471" s="6" t="s">
        <v>553</v>
      </c>
      <c r="D2471" s="6" t="str">
        <f>"王秀清"</f>
        <v>王秀清</v>
      </c>
      <c r="E2471" s="6" t="str">
        <f t="shared" si="87"/>
        <v>女</v>
      </c>
    </row>
    <row r="2472" spans="1:5" ht="30" customHeight="1">
      <c r="A2472" s="6">
        <v>2470</v>
      </c>
      <c r="B2472" s="6" t="str">
        <f>"299420210529231756112004"</f>
        <v>299420210529231756112004</v>
      </c>
      <c r="C2472" s="6" t="s">
        <v>553</v>
      </c>
      <c r="D2472" s="6" t="str">
        <f>"伍显艳"</f>
        <v>伍显艳</v>
      </c>
      <c r="E2472" s="6" t="str">
        <f t="shared" si="87"/>
        <v>女</v>
      </c>
    </row>
    <row r="2473" spans="1:5" ht="30" customHeight="1">
      <c r="A2473" s="6">
        <v>2471</v>
      </c>
      <c r="B2473" s="6" t="str">
        <f>"299420210529234155112017"</f>
        <v>299420210529234155112017</v>
      </c>
      <c r="C2473" s="6" t="s">
        <v>553</v>
      </c>
      <c r="D2473" s="6" t="str">
        <f>"王黄新"</f>
        <v>王黄新</v>
      </c>
      <c r="E2473" s="6" t="str">
        <f t="shared" si="87"/>
        <v>女</v>
      </c>
    </row>
    <row r="2474" spans="1:5" ht="30" customHeight="1">
      <c r="A2474" s="6">
        <v>2472</v>
      </c>
      <c r="B2474" s="6" t="str">
        <f>"299420210529235401112019"</f>
        <v>299420210529235401112019</v>
      </c>
      <c r="C2474" s="6" t="s">
        <v>553</v>
      </c>
      <c r="D2474" s="6" t="str">
        <f>"曾民娟"</f>
        <v>曾民娟</v>
      </c>
      <c r="E2474" s="6" t="str">
        <f t="shared" si="87"/>
        <v>女</v>
      </c>
    </row>
    <row r="2475" spans="1:5" ht="30" customHeight="1">
      <c r="A2475" s="6">
        <v>2473</v>
      </c>
      <c r="B2475" s="6" t="str">
        <f>"299420210530002345112033"</f>
        <v>299420210530002345112033</v>
      </c>
      <c r="C2475" s="6" t="s">
        <v>553</v>
      </c>
      <c r="D2475" s="6" t="str">
        <f>"廖丽云"</f>
        <v>廖丽云</v>
      </c>
      <c r="E2475" s="6" t="str">
        <f t="shared" si="87"/>
        <v>女</v>
      </c>
    </row>
    <row r="2476" spans="1:5" ht="30" customHeight="1">
      <c r="A2476" s="6">
        <v>2474</v>
      </c>
      <c r="B2476" s="6" t="str">
        <f>"299420210530025407112056"</f>
        <v>299420210530025407112056</v>
      </c>
      <c r="C2476" s="6" t="s">
        <v>553</v>
      </c>
      <c r="D2476" s="6" t="str">
        <f>"滕梓姣"</f>
        <v>滕梓姣</v>
      </c>
      <c r="E2476" s="6" t="str">
        <f t="shared" si="87"/>
        <v>女</v>
      </c>
    </row>
    <row r="2477" spans="1:5" ht="30" customHeight="1">
      <c r="A2477" s="6">
        <v>2475</v>
      </c>
      <c r="B2477" s="6" t="str">
        <f>"299420210530080716112065"</f>
        <v>299420210530080716112065</v>
      </c>
      <c r="C2477" s="6" t="s">
        <v>553</v>
      </c>
      <c r="D2477" s="6" t="str">
        <f>"莫小玲"</f>
        <v>莫小玲</v>
      </c>
      <c r="E2477" s="6" t="str">
        <f t="shared" si="87"/>
        <v>女</v>
      </c>
    </row>
    <row r="2478" spans="1:5" ht="30" customHeight="1">
      <c r="A2478" s="6">
        <v>2476</v>
      </c>
      <c r="B2478" s="6" t="str">
        <f>"299420210530083815112077"</f>
        <v>299420210530083815112077</v>
      </c>
      <c r="C2478" s="6" t="s">
        <v>553</v>
      </c>
      <c r="D2478" s="6" t="str">
        <f>"温欣"</f>
        <v>温欣</v>
      </c>
      <c r="E2478" s="6" t="str">
        <f t="shared" si="87"/>
        <v>女</v>
      </c>
    </row>
    <row r="2479" spans="1:5" ht="30" customHeight="1">
      <c r="A2479" s="6">
        <v>2477</v>
      </c>
      <c r="B2479" s="6" t="str">
        <f>"299420210530085618112086"</f>
        <v>299420210530085618112086</v>
      </c>
      <c r="C2479" s="6" t="s">
        <v>553</v>
      </c>
      <c r="D2479" s="6" t="str">
        <f>"刘飞"</f>
        <v>刘飞</v>
      </c>
      <c r="E2479" s="6" t="str">
        <f t="shared" si="87"/>
        <v>女</v>
      </c>
    </row>
    <row r="2480" spans="1:5" ht="30" customHeight="1">
      <c r="A2480" s="6">
        <v>2478</v>
      </c>
      <c r="B2480" s="6" t="str">
        <f>"299420210530094356112107"</f>
        <v>299420210530094356112107</v>
      </c>
      <c r="C2480" s="6" t="s">
        <v>553</v>
      </c>
      <c r="D2480" s="6" t="str">
        <f>"纪长铭"</f>
        <v>纪长铭</v>
      </c>
      <c r="E2480" s="6" t="str">
        <f>"男"</f>
        <v>男</v>
      </c>
    </row>
    <row r="2481" spans="1:5" ht="30" customHeight="1">
      <c r="A2481" s="6">
        <v>2479</v>
      </c>
      <c r="B2481" s="6" t="str">
        <f>"299420210530101511112134"</f>
        <v>299420210530101511112134</v>
      </c>
      <c r="C2481" s="6" t="s">
        <v>553</v>
      </c>
      <c r="D2481" s="6" t="str">
        <f>"韩芳"</f>
        <v>韩芳</v>
      </c>
      <c r="E2481" s="6" t="str">
        <f aca="true" t="shared" si="88" ref="E2481:E2496">"女"</f>
        <v>女</v>
      </c>
    </row>
    <row r="2482" spans="1:5" ht="30" customHeight="1">
      <c r="A2482" s="6">
        <v>2480</v>
      </c>
      <c r="B2482" s="6" t="str">
        <f>"299420210530101724112141"</f>
        <v>299420210530101724112141</v>
      </c>
      <c r="C2482" s="6" t="s">
        <v>553</v>
      </c>
      <c r="D2482" s="6" t="str">
        <f>"刘诗媛"</f>
        <v>刘诗媛</v>
      </c>
      <c r="E2482" s="6" t="str">
        <f t="shared" si="88"/>
        <v>女</v>
      </c>
    </row>
    <row r="2483" spans="1:5" ht="30" customHeight="1">
      <c r="A2483" s="6">
        <v>2481</v>
      </c>
      <c r="B2483" s="6" t="str">
        <f>"299420210530103614112165"</f>
        <v>299420210530103614112165</v>
      </c>
      <c r="C2483" s="6" t="s">
        <v>553</v>
      </c>
      <c r="D2483" s="6" t="str">
        <f>"蒲耀耀"</f>
        <v>蒲耀耀</v>
      </c>
      <c r="E2483" s="6" t="str">
        <f t="shared" si="88"/>
        <v>女</v>
      </c>
    </row>
    <row r="2484" spans="1:5" ht="30" customHeight="1">
      <c r="A2484" s="6">
        <v>2482</v>
      </c>
      <c r="B2484" s="6" t="str">
        <f>"299420210530105833112184"</f>
        <v>299420210530105833112184</v>
      </c>
      <c r="C2484" s="6" t="s">
        <v>553</v>
      </c>
      <c r="D2484" s="6" t="str">
        <f>"吴春玲"</f>
        <v>吴春玲</v>
      </c>
      <c r="E2484" s="6" t="str">
        <f t="shared" si="88"/>
        <v>女</v>
      </c>
    </row>
    <row r="2485" spans="1:5" ht="30" customHeight="1">
      <c r="A2485" s="6">
        <v>2483</v>
      </c>
      <c r="B2485" s="6" t="str">
        <f>"299420210530105935112188"</f>
        <v>299420210530105935112188</v>
      </c>
      <c r="C2485" s="6" t="s">
        <v>553</v>
      </c>
      <c r="D2485" s="6" t="str">
        <f>"董伟净"</f>
        <v>董伟净</v>
      </c>
      <c r="E2485" s="6" t="str">
        <f t="shared" si="88"/>
        <v>女</v>
      </c>
    </row>
    <row r="2486" spans="1:5" ht="30" customHeight="1">
      <c r="A2486" s="6">
        <v>2484</v>
      </c>
      <c r="B2486" s="6" t="str">
        <f>"299420210530114522112231"</f>
        <v>299420210530114522112231</v>
      </c>
      <c r="C2486" s="6" t="s">
        <v>553</v>
      </c>
      <c r="D2486" s="6" t="str">
        <f>"何雄玲"</f>
        <v>何雄玲</v>
      </c>
      <c r="E2486" s="6" t="str">
        <f t="shared" si="88"/>
        <v>女</v>
      </c>
    </row>
    <row r="2487" spans="1:5" ht="30" customHeight="1">
      <c r="A2487" s="6">
        <v>2485</v>
      </c>
      <c r="B2487" s="6" t="str">
        <f>"299420210530114556112232"</f>
        <v>299420210530114556112232</v>
      </c>
      <c r="C2487" s="6" t="s">
        <v>553</v>
      </c>
      <c r="D2487" s="6" t="str">
        <f>"吴飞燕"</f>
        <v>吴飞燕</v>
      </c>
      <c r="E2487" s="6" t="str">
        <f t="shared" si="88"/>
        <v>女</v>
      </c>
    </row>
    <row r="2488" spans="1:5" ht="30" customHeight="1">
      <c r="A2488" s="6">
        <v>2486</v>
      </c>
      <c r="B2488" s="6" t="str">
        <f>"299420210530120247112240"</f>
        <v>299420210530120247112240</v>
      </c>
      <c r="C2488" s="6" t="s">
        <v>553</v>
      </c>
      <c r="D2488" s="6" t="str">
        <f>"李阳璐"</f>
        <v>李阳璐</v>
      </c>
      <c r="E2488" s="6" t="str">
        <f t="shared" si="88"/>
        <v>女</v>
      </c>
    </row>
    <row r="2489" spans="1:5" ht="30" customHeight="1">
      <c r="A2489" s="6">
        <v>2487</v>
      </c>
      <c r="B2489" s="6" t="str">
        <f>"299420210530121959112251"</f>
        <v>299420210530121959112251</v>
      </c>
      <c r="C2489" s="6" t="s">
        <v>553</v>
      </c>
      <c r="D2489" s="6" t="str">
        <f>"郑传男"</f>
        <v>郑传男</v>
      </c>
      <c r="E2489" s="6" t="str">
        <f t="shared" si="88"/>
        <v>女</v>
      </c>
    </row>
    <row r="2490" spans="1:5" ht="30" customHeight="1">
      <c r="A2490" s="6">
        <v>2488</v>
      </c>
      <c r="B2490" s="6" t="str">
        <f>"299420210530124156112275"</f>
        <v>299420210530124156112275</v>
      </c>
      <c r="C2490" s="6" t="s">
        <v>553</v>
      </c>
      <c r="D2490" s="6" t="str">
        <f>"王玉"</f>
        <v>王玉</v>
      </c>
      <c r="E2490" s="6" t="str">
        <f t="shared" si="88"/>
        <v>女</v>
      </c>
    </row>
    <row r="2491" spans="1:5" ht="30" customHeight="1">
      <c r="A2491" s="6">
        <v>2489</v>
      </c>
      <c r="B2491" s="6" t="str">
        <f>"299420210530144551112337"</f>
        <v>299420210530144551112337</v>
      </c>
      <c r="C2491" s="6" t="s">
        <v>553</v>
      </c>
      <c r="D2491" s="6" t="str">
        <f>"吴英艳"</f>
        <v>吴英艳</v>
      </c>
      <c r="E2491" s="6" t="str">
        <f t="shared" si="88"/>
        <v>女</v>
      </c>
    </row>
    <row r="2492" spans="1:5" ht="30" customHeight="1">
      <c r="A2492" s="6">
        <v>2490</v>
      </c>
      <c r="B2492" s="6" t="str">
        <f>"299420210530162552112406"</f>
        <v>299420210530162552112406</v>
      </c>
      <c r="C2492" s="6" t="s">
        <v>553</v>
      </c>
      <c r="D2492" s="6" t="str">
        <f>"黄晓彤"</f>
        <v>黄晓彤</v>
      </c>
      <c r="E2492" s="6" t="str">
        <f t="shared" si="88"/>
        <v>女</v>
      </c>
    </row>
    <row r="2493" spans="1:5" ht="30" customHeight="1">
      <c r="A2493" s="6">
        <v>2491</v>
      </c>
      <c r="B2493" s="6" t="str">
        <f>"299420210530170559112429"</f>
        <v>299420210530170559112429</v>
      </c>
      <c r="C2493" s="6" t="s">
        <v>553</v>
      </c>
      <c r="D2493" s="6" t="str">
        <f>"李志蕊"</f>
        <v>李志蕊</v>
      </c>
      <c r="E2493" s="6" t="str">
        <f t="shared" si="88"/>
        <v>女</v>
      </c>
    </row>
    <row r="2494" spans="1:5" ht="30" customHeight="1">
      <c r="A2494" s="6">
        <v>2492</v>
      </c>
      <c r="B2494" s="6" t="str">
        <f>"299420210530174045112467"</f>
        <v>299420210530174045112467</v>
      </c>
      <c r="C2494" s="6" t="s">
        <v>553</v>
      </c>
      <c r="D2494" s="6" t="str">
        <f>"周柳妍"</f>
        <v>周柳妍</v>
      </c>
      <c r="E2494" s="6" t="str">
        <f t="shared" si="88"/>
        <v>女</v>
      </c>
    </row>
    <row r="2495" spans="1:5" ht="30" customHeight="1">
      <c r="A2495" s="6">
        <v>2493</v>
      </c>
      <c r="B2495" s="6" t="str">
        <f>"299420210530181115112500"</f>
        <v>299420210530181115112500</v>
      </c>
      <c r="C2495" s="6" t="s">
        <v>553</v>
      </c>
      <c r="D2495" s="6" t="str">
        <f>"王娇"</f>
        <v>王娇</v>
      </c>
      <c r="E2495" s="6" t="str">
        <f t="shared" si="88"/>
        <v>女</v>
      </c>
    </row>
    <row r="2496" spans="1:5" ht="30" customHeight="1">
      <c r="A2496" s="6">
        <v>2494</v>
      </c>
      <c r="B2496" s="6" t="str">
        <f>"299420210530190249112540"</f>
        <v>299420210530190249112540</v>
      </c>
      <c r="C2496" s="6" t="s">
        <v>553</v>
      </c>
      <c r="D2496" s="6" t="str">
        <f>"谢红琳"</f>
        <v>谢红琳</v>
      </c>
      <c r="E2496" s="6" t="str">
        <f t="shared" si="88"/>
        <v>女</v>
      </c>
    </row>
    <row r="2497" spans="1:5" ht="30" customHeight="1">
      <c r="A2497" s="6">
        <v>2495</v>
      </c>
      <c r="B2497" s="6" t="str">
        <f>"299420210530193914112565"</f>
        <v>299420210530193914112565</v>
      </c>
      <c r="C2497" s="6" t="s">
        <v>553</v>
      </c>
      <c r="D2497" s="6" t="str">
        <f>"宫喜超"</f>
        <v>宫喜超</v>
      </c>
      <c r="E2497" s="6" t="str">
        <f>"男"</f>
        <v>男</v>
      </c>
    </row>
    <row r="2498" spans="1:5" ht="30" customHeight="1">
      <c r="A2498" s="6">
        <v>2496</v>
      </c>
      <c r="B2498" s="6" t="str">
        <f>"299420210530195038112574"</f>
        <v>299420210530195038112574</v>
      </c>
      <c r="C2498" s="6" t="s">
        <v>553</v>
      </c>
      <c r="D2498" s="6" t="str">
        <f>"林惠"</f>
        <v>林惠</v>
      </c>
      <c r="E2498" s="6" t="str">
        <f>"女"</f>
        <v>女</v>
      </c>
    </row>
    <row r="2499" spans="1:5" ht="30" customHeight="1">
      <c r="A2499" s="6">
        <v>2497</v>
      </c>
      <c r="B2499" s="6" t="str">
        <f>"299420210530204829112632"</f>
        <v>299420210530204829112632</v>
      </c>
      <c r="C2499" s="6" t="s">
        <v>553</v>
      </c>
      <c r="D2499" s="6" t="str">
        <f>"秦樱月"</f>
        <v>秦樱月</v>
      </c>
      <c r="E2499" s="6" t="str">
        <f>"女"</f>
        <v>女</v>
      </c>
    </row>
    <row r="2500" spans="1:5" ht="30" customHeight="1">
      <c r="A2500" s="6">
        <v>2498</v>
      </c>
      <c r="B2500" s="6" t="str">
        <f>"299420210530210015112649"</f>
        <v>299420210530210015112649</v>
      </c>
      <c r="C2500" s="6" t="s">
        <v>553</v>
      </c>
      <c r="D2500" s="6" t="str">
        <f>"罗彩玲"</f>
        <v>罗彩玲</v>
      </c>
      <c r="E2500" s="6" t="str">
        <f>"女"</f>
        <v>女</v>
      </c>
    </row>
    <row r="2501" spans="1:5" ht="30" customHeight="1">
      <c r="A2501" s="6">
        <v>2499</v>
      </c>
      <c r="B2501" s="6" t="str">
        <f>"299420210530210912112663"</f>
        <v>299420210530210912112663</v>
      </c>
      <c r="C2501" s="6" t="s">
        <v>553</v>
      </c>
      <c r="D2501" s="6" t="str">
        <f>"宋坤阳"</f>
        <v>宋坤阳</v>
      </c>
      <c r="E2501" s="6" t="str">
        <f>"男"</f>
        <v>男</v>
      </c>
    </row>
    <row r="2502" spans="1:5" ht="30" customHeight="1">
      <c r="A2502" s="6">
        <v>2500</v>
      </c>
      <c r="B2502" s="6" t="str">
        <f>"299420210530210915112664"</f>
        <v>299420210530210915112664</v>
      </c>
      <c r="C2502" s="6" t="s">
        <v>553</v>
      </c>
      <c r="D2502" s="6" t="str">
        <f>"王道政"</f>
        <v>王道政</v>
      </c>
      <c r="E2502" s="6" t="str">
        <f>"男"</f>
        <v>男</v>
      </c>
    </row>
    <row r="2503" spans="1:5" ht="30" customHeight="1">
      <c r="A2503" s="6">
        <v>2501</v>
      </c>
      <c r="B2503" s="6" t="str">
        <f>"299420210530212846112697"</f>
        <v>299420210530212846112697</v>
      </c>
      <c r="C2503" s="6" t="s">
        <v>553</v>
      </c>
      <c r="D2503" s="6" t="str">
        <f>"叶晓倩"</f>
        <v>叶晓倩</v>
      </c>
      <c r="E2503" s="6" t="str">
        <f aca="true" t="shared" si="89" ref="E2503:E2530">"女"</f>
        <v>女</v>
      </c>
    </row>
    <row r="2504" spans="1:5" ht="30" customHeight="1">
      <c r="A2504" s="6">
        <v>2502</v>
      </c>
      <c r="B2504" s="6" t="str">
        <f>"299420210530214250112707"</f>
        <v>299420210530214250112707</v>
      </c>
      <c r="C2504" s="6" t="s">
        <v>553</v>
      </c>
      <c r="D2504" s="6" t="str">
        <f>"林羽"</f>
        <v>林羽</v>
      </c>
      <c r="E2504" s="6" t="str">
        <f t="shared" si="89"/>
        <v>女</v>
      </c>
    </row>
    <row r="2505" spans="1:5" ht="30" customHeight="1">
      <c r="A2505" s="6">
        <v>2503</v>
      </c>
      <c r="B2505" s="6" t="str">
        <f>"299420210530215503112720"</f>
        <v>299420210530215503112720</v>
      </c>
      <c r="C2505" s="6" t="s">
        <v>553</v>
      </c>
      <c r="D2505" s="6" t="str">
        <f>"王丹"</f>
        <v>王丹</v>
      </c>
      <c r="E2505" s="6" t="str">
        <f t="shared" si="89"/>
        <v>女</v>
      </c>
    </row>
    <row r="2506" spans="1:5" ht="30" customHeight="1">
      <c r="A2506" s="6">
        <v>2504</v>
      </c>
      <c r="B2506" s="6" t="str">
        <f>"299420210530215815112726"</f>
        <v>299420210530215815112726</v>
      </c>
      <c r="C2506" s="6" t="s">
        <v>553</v>
      </c>
      <c r="D2506" s="6" t="str">
        <f>"吴阿明"</f>
        <v>吴阿明</v>
      </c>
      <c r="E2506" s="6" t="str">
        <f t="shared" si="89"/>
        <v>女</v>
      </c>
    </row>
    <row r="2507" spans="1:5" ht="30" customHeight="1">
      <c r="A2507" s="6">
        <v>2505</v>
      </c>
      <c r="B2507" s="6" t="str">
        <f>"299420210530215920112728"</f>
        <v>299420210530215920112728</v>
      </c>
      <c r="C2507" s="6" t="s">
        <v>553</v>
      </c>
      <c r="D2507" s="6" t="str">
        <f>"陈亚咪"</f>
        <v>陈亚咪</v>
      </c>
      <c r="E2507" s="6" t="str">
        <f t="shared" si="89"/>
        <v>女</v>
      </c>
    </row>
    <row r="2508" spans="1:5" ht="30" customHeight="1">
      <c r="A2508" s="6">
        <v>2506</v>
      </c>
      <c r="B2508" s="6" t="str">
        <f>"299420210530222647112770"</f>
        <v>299420210530222647112770</v>
      </c>
      <c r="C2508" s="6" t="s">
        <v>553</v>
      </c>
      <c r="D2508" s="6" t="str">
        <f>"王雅琼"</f>
        <v>王雅琼</v>
      </c>
      <c r="E2508" s="6" t="str">
        <f t="shared" si="89"/>
        <v>女</v>
      </c>
    </row>
    <row r="2509" spans="1:5" ht="30" customHeight="1">
      <c r="A2509" s="6">
        <v>2507</v>
      </c>
      <c r="B2509" s="6" t="str">
        <f>"299420210530225157112798"</f>
        <v>299420210530225157112798</v>
      </c>
      <c r="C2509" s="6" t="s">
        <v>553</v>
      </c>
      <c r="D2509" s="6" t="str">
        <f>"张蕾"</f>
        <v>张蕾</v>
      </c>
      <c r="E2509" s="6" t="str">
        <f t="shared" si="89"/>
        <v>女</v>
      </c>
    </row>
    <row r="2510" spans="1:5" ht="30" customHeight="1">
      <c r="A2510" s="6">
        <v>2508</v>
      </c>
      <c r="B2510" s="6" t="str">
        <f>"299420210530225614112805"</f>
        <v>299420210530225614112805</v>
      </c>
      <c r="C2510" s="6" t="s">
        <v>553</v>
      </c>
      <c r="D2510" s="6" t="str">
        <f>"伍田"</f>
        <v>伍田</v>
      </c>
      <c r="E2510" s="6" t="str">
        <f t="shared" si="89"/>
        <v>女</v>
      </c>
    </row>
    <row r="2511" spans="1:5" ht="30" customHeight="1">
      <c r="A2511" s="6">
        <v>2509</v>
      </c>
      <c r="B2511" s="6" t="str">
        <f>"299420210530230740112823"</f>
        <v>299420210530230740112823</v>
      </c>
      <c r="C2511" s="6" t="s">
        <v>553</v>
      </c>
      <c r="D2511" s="6" t="str">
        <f>"林芬"</f>
        <v>林芬</v>
      </c>
      <c r="E2511" s="6" t="str">
        <f t="shared" si="89"/>
        <v>女</v>
      </c>
    </row>
    <row r="2512" spans="1:5" ht="30" customHeight="1">
      <c r="A2512" s="6">
        <v>2510</v>
      </c>
      <c r="B2512" s="6" t="str">
        <f>"299420210530231132112832"</f>
        <v>299420210530231132112832</v>
      </c>
      <c r="C2512" s="6" t="s">
        <v>553</v>
      </c>
      <c r="D2512" s="6" t="str">
        <f>"林侨仙"</f>
        <v>林侨仙</v>
      </c>
      <c r="E2512" s="6" t="str">
        <f t="shared" si="89"/>
        <v>女</v>
      </c>
    </row>
    <row r="2513" spans="1:5" ht="30" customHeight="1">
      <c r="A2513" s="6">
        <v>2511</v>
      </c>
      <c r="B2513" s="6" t="str">
        <f>"299420210530234249112863"</f>
        <v>299420210530234249112863</v>
      </c>
      <c r="C2513" s="6" t="s">
        <v>553</v>
      </c>
      <c r="D2513" s="6" t="str">
        <f>"陈玉环"</f>
        <v>陈玉环</v>
      </c>
      <c r="E2513" s="6" t="str">
        <f t="shared" si="89"/>
        <v>女</v>
      </c>
    </row>
    <row r="2514" spans="1:5" ht="30" customHeight="1">
      <c r="A2514" s="6">
        <v>2512</v>
      </c>
      <c r="B2514" s="6" t="str">
        <f>"299420210531000321112873"</f>
        <v>299420210531000321112873</v>
      </c>
      <c r="C2514" s="6" t="s">
        <v>553</v>
      </c>
      <c r="D2514" s="6" t="str">
        <f>"王霞"</f>
        <v>王霞</v>
      </c>
      <c r="E2514" s="6" t="str">
        <f t="shared" si="89"/>
        <v>女</v>
      </c>
    </row>
    <row r="2515" spans="1:5" ht="30" customHeight="1">
      <c r="A2515" s="6">
        <v>2513</v>
      </c>
      <c r="B2515" s="6" t="str">
        <f>"299420210531004422112898"</f>
        <v>299420210531004422112898</v>
      </c>
      <c r="C2515" s="6" t="s">
        <v>553</v>
      </c>
      <c r="D2515" s="6" t="str">
        <f>"梁晓菲"</f>
        <v>梁晓菲</v>
      </c>
      <c r="E2515" s="6" t="str">
        <f t="shared" si="89"/>
        <v>女</v>
      </c>
    </row>
    <row r="2516" spans="1:5" ht="30" customHeight="1">
      <c r="A2516" s="6">
        <v>2514</v>
      </c>
      <c r="B2516" s="6" t="str">
        <f>"299420210531055438112920"</f>
        <v>299420210531055438112920</v>
      </c>
      <c r="C2516" s="6" t="s">
        <v>553</v>
      </c>
      <c r="D2516" s="6" t="str">
        <f>"黄莉芬"</f>
        <v>黄莉芬</v>
      </c>
      <c r="E2516" s="6" t="str">
        <f t="shared" si="89"/>
        <v>女</v>
      </c>
    </row>
    <row r="2517" spans="1:5" ht="30" customHeight="1">
      <c r="A2517" s="6">
        <v>2515</v>
      </c>
      <c r="B2517" s="6" t="str">
        <f>"299420210531063618112921"</f>
        <v>299420210531063618112921</v>
      </c>
      <c r="C2517" s="6" t="s">
        <v>553</v>
      </c>
      <c r="D2517" s="6" t="str">
        <f>"李鹏玉"</f>
        <v>李鹏玉</v>
      </c>
      <c r="E2517" s="6" t="str">
        <f t="shared" si="89"/>
        <v>女</v>
      </c>
    </row>
    <row r="2518" spans="1:5" ht="30" customHeight="1">
      <c r="A2518" s="6">
        <v>2516</v>
      </c>
      <c r="B2518" s="6" t="str">
        <f>"299420210531073343112926"</f>
        <v>299420210531073343112926</v>
      </c>
      <c r="C2518" s="6" t="s">
        <v>553</v>
      </c>
      <c r="D2518" s="6" t="str">
        <f>"吴振霞"</f>
        <v>吴振霞</v>
      </c>
      <c r="E2518" s="6" t="str">
        <f t="shared" si="89"/>
        <v>女</v>
      </c>
    </row>
    <row r="2519" spans="1:5" ht="30" customHeight="1">
      <c r="A2519" s="6">
        <v>2517</v>
      </c>
      <c r="B2519" s="6" t="str">
        <f>"299420210531082409112952"</f>
        <v>299420210531082409112952</v>
      </c>
      <c r="C2519" s="6" t="s">
        <v>553</v>
      </c>
      <c r="D2519" s="6" t="str">
        <f>"王美君"</f>
        <v>王美君</v>
      </c>
      <c r="E2519" s="6" t="str">
        <f t="shared" si="89"/>
        <v>女</v>
      </c>
    </row>
    <row r="2520" spans="1:5" ht="30" customHeight="1">
      <c r="A2520" s="6">
        <v>2518</v>
      </c>
      <c r="B2520" s="6" t="str">
        <f>"299420210531082425112953"</f>
        <v>299420210531082425112953</v>
      </c>
      <c r="C2520" s="6" t="s">
        <v>553</v>
      </c>
      <c r="D2520" s="6" t="str">
        <f>"李智慧"</f>
        <v>李智慧</v>
      </c>
      <c r="E2520" s="6" t="str">
        <f t="shared" si="89"/>
        <v>女</v>
      </c>
    </row>
    <row r="2521" spans="1:5" ht="30" customHeight="1">
      <c r="A2521" s="6">
        <v>2519</v>
      </c>
      <c r="B2521" s="6" t="str">
        <f>"299420210531082701112957"</f>
        <v>299420210531082701112957</v>
      </c>
      <c r="C2521" s="6" t="s">
        <v>553</v>
      </c>
      <c r="D2521" s="6" t="str">
        <f>"翁腾莉"</f>
        <v>翁腾莉</v>
      </c>
      <c r="E2521" s="6" t="str">
        <f t="shared" si="89"/>
        <v>女</v>
      </c>
    </row>
    <row r="2522" spans="1:5" ht="30" customHeight="1">
      <c r="A2522" s="6">
        <v>2520</v>
      </c>
      <c r="B2522" s="6" t="str">
        <f>"299420210531083404112965"</f>
        <v>299420210531083404112965</v>
      </c>
      <c r="C2522" s="6" t="s">
        <v>553</v>
      </c>
      <c r="D2522" s="6" t="str">
        <f>"符惠娴"</f>
        <v>符惠娴</v>
      </c>
      <c r="E2522" s="6" t="str">
        <f t="shared" si="89"/>
        <v>女</v>
      </c>
    </row>
    <row r="2523" spans="1:5" ht="30" customHeight="1">
      <c r="A2523" s="6">
        <v>2521</v>
      </c>
      <c r="B2523" s="6" t="str">
        <f>"299420210531090558113007"</f>
        <v>299420210531090558113007</v>
      </c>
      <c r="C2523" s="6" t="s">
        <v>553</v>
      </c>
      <c r="D2523" s="6" t="str">
        <f>"何妃"</f>
        <v>何妃</v>
      </c>
      <c r="E2523" s="6" t="str">
        <f t="shared" si="89"/>
        <v>女</v>
      </c>
    </row>
    <row r="2524" spans="1:5" ht="30" customHeight="1">
      <c r="A2524" s="6">
        <v>2522</v>
      </c>
      <c r="B2524" s="6" t="str">
        <f>"299420210531090740113009"</f>
        <v>299420210531090740113009</v>
      </c>
      <c r="C2524" s="6" t="s">
        <v>553</v>
      </c>
      <c r="D2524" s="6" t="str">
        <f>"王艳秋"</f>
        <v>王艳秋</v>
      </c>
      <c r="E2524" s="6" t="str">
        <f t="shared" si="89"/>
        <v>女</v>
      </c>
    </row>
    <row r="2525" spans="1:5" ht="30" customHeight="1">
      <c r="A2525" s="6">
        <v>2523</v>
      </c>
      <c r="B2525" s="6" t="str">
        <f>"299420210531092022113021"</f>
        <v>299420210531092022113021</v>
      </c>
      <c r="C2525" s="6" t="s">
        <v>553</v>
      </c>
      <c r="D2525" s="6" t="str">
        <f>"邹丹丹"</f>
        <v>邹丹丹</v>
      </c>
      <c r="E2525" s="6" t="str">
        <f t="shared" si="89"/>
        <v>女</v>
      </c>
    </row>
    <row r="2526" spans="1:5" ht="30" customHeight="1">
      <c r="A2526" s="6">
        <v>2524</v>
      </c>
      <c r="B2526" s="6" t="str">
        <f>"299420210531092537113030"</f>
        <v>299420210531092537113030</v>
      </c>
      <c r="C2526" s="6" t="s">
        <v>553</v>
      </c>
      <c r="D2526" s="6" t="str">
        <f>"许思思"</f>
        <v>许思思</v>
      </c>
      <c r="E2526" s="6" t="str">
        <f t="shared" si="89"/>
        <v>女</v>
      </c>
    </row>
    <row r="2527" spans="1:5" ht="30" customHeight="1">
      <c r="A2527" s="6">
        <v>2525</v>
      </c>
      <c r="B2527" s="6" t="str">
        <f>"299420210531092913113044"</f>
        <v>299420210531092913113044</v>
      </c>
      <c r="C2527" s="6" t="s">
        <v>553</v>
      </c>
      <c r="D2527" s="6" t="str">
        <f>"翁春晓"</f>
        <v>翁春晓</v>
      </c>
      <c r="E2527" s="6" t="str">
        <f t="shared" si="89"/>
        <v>女</v>
      </c>
    </row>
    <row r="2528" spans="1:5" ht="30" customHeight="1">
      <c r="A2528" s="6">
        <v>2526</v>
      </c>
      <c r="B2528" s="6" t="str">
        <f>"299420210531093003113047"</f>
        <v>299420210531093003113047</v>
      </c>
      <c r="C2528" s="6" t="s">
        <v>553</v>
      </c>
      <c r="D2528" s="6" t="str">
        <f>"古松龄"</f>
        <v>古松龄</v>
      </c>
      <c r="E2528" s="6" t="str">
        <f t="shared" si="89"/>
        <v>女</v>
      </c>
    </row>
    <row r="2529" spans="1:5" ht="30" customHeight="1">
      <c r="A2529" s="6">
        <v>2527</v>
      </c>
      <c r="B2529" s="6" t="str">
        <f>"299420210531093448113058"</f>
        <v>299420210531093448113058</v>
      </c>
      <c r="C2529" s="6" t="s">
        <v>553</v>
      </c>
      <c r="D2529" s="6" t="str">
        <f>"张婷婷"</f>
        <v>张婷婷</v>
      </c>
      <c r="E2529" s="6" t="str">
        <f t="shared" si="89"/>
        <v>女</v>
      </c>
    </row>
    <row r="2530" spans="1:5" ht="30" customHeight="1">
      <c r="A2530" s="6">
        <v>2528</v>
      </c>
      <c r="B2530" s="6" t="str">
        <f>"299420210531100032113108"</f>
        <v>299420210531100032113108</v>
      </c>
      <c r="C2530" s="6" t="s">
        <v>553</v>
      </c>
      <c r="D2530" s="6" t="str">
        <f>"钟海菊"</f>
        <v>钟海菊</v>
      </c>
      <c r="E2530" s="6" t="str">
        <f t="shared" si="89"/>
        <v>女</v>
      </c>
    </row>
    <row r="2531" spans="1:5" ht="30" customHeight="1">
      <c r="A2531" s="6">
        <v>2529</v>
      </c>
      <c r="B2531" s="6" t="str">
        <f>"299420210531100145113110"</f>
        <v>299420210531100145113110</v>
      </c>
      <c r="C2531" s="6" t="s">
        <v>553</v>
      </c>
      <c r="D2531" s="6" t="str">
        <f>"莫巨明"</f>
        <v>莫巨明</v>
      </c>
      <c r="E2531" s="6" t="str">
        <f>"男"</f>
        <v>男</v>
      </c>
    </row>
    <row r="2532" spans="1:5" ht="30" customHeight="1">
      <c r="A2532" s="6">
        <v>2530</v>
      </c>
      <c r="B2532" s="6" t="str">
        <f>"299420210531101059113125"</f>
        <v>299420210531101059113125</v>
      </c>
      <c r="C2532" s="6" t="s">
        <v>553</v>
      </c>
      <c r="D2532" s="6" t="str">
        <f>"刘丽秋"</f>
        <v>刘丽秋</v>
      </c>
      <c r="E2532" s="6" t="str">
        <f aca="true" t="shared" si="90" ref="E2532:E2552">"女"</f>
        <v>女</v>
      </c>
    </row>
    <row r="2533" spans="1:5" ht="30" customHeight="1">
      <c r="A2533" s="6">
        <v>2531</v>
      </c>
      <c r="B2533" s="6" t="str">
        <f>"299420210531101443113132"</f>
        <v>299420210531101443113132</v>
      </c>
      <c r="C2533" s="6" t="s">
        <v>553</v>
      </c>
      <c r="D2533" s="6" t="str">
        <f>"周文"</f>
        <v>周文</v>
      </c>
      <c r="E2533" s="6" t="str">
        <f t="shared" si="90"/>
        <v>女</v>
      </c>
    </row>
    <row r="2534" spans="1:5" ht="30" customHeight="1">
      <c r="A2534" s="6">
        <v>2532</v>
      </c>
      <c r="B2534" s="6" t="str">
        <f>"299420210531103652113168"</f>
        <v>299420210531103652113168</v>
      </c>
      <c r="C2534" s="6" t="s">
        <v>553</v>
      </c>
      <c r="D2534" s="6" t="str">
        <f>"陈玲"</f>
        <v>陈玲</v>
      </c>
      <c r="E2534" s="6" t="str">
        <f t="shared" si="90"/>
        <v>女</v>
      </c>
    </row>
    <row r="2535" spans="1:5" ht="30" customHeight="1">
      <c r="A2535" s="6">
        <v>2533</v>
      </c>
      <c r="B2535" s="6" t="str">
        <f>"299420210531103743113174"</f>
        <v>299420210531103743113174</v>
      </c>
      <c r="C2535" s="6" t="s">
        <v>553</v>
      </c>
      <c r="D2535" s="6" t="str">
        <f>"欧瑜珍"</f>
        <v>欧瑜珍</v>
      </c>
      <c r="E2535" s="6" t="str">
        <f t="shared" si="90"/>
        <v>女</v>
      </c>
    </row>
    <row r="2536" spans="1:5" ht="30" customHeight="1">
      <c r="A2536" s="6">
        <v>2534</v>
      </c>
      <c r="B2536" s="6" t="str">
        <f>"299420210531104607113187"</f>
        <v>299420210531104607113187</v>
      </c>
      <c r="C2536" s="6" t="s">
        <v>553</v>
      </c>
      <c r="D2536" s="6" t="str">
        <f>"曾芝兰"</f>
        <v>曾芝兰</v>
      </c>
      <c r="E2536" s="6" t="str">
        <f t="shared" si="90"/>
        <v>女</v>
      </c>
    </row>
    <row r="2537" spans="1:5" ht="30" customHeight="1">
      <c r="A2537" s="6">
        <v>2535</v>
      </c>
      <c r="B2537" s="6" t="str">
        <f>"299420210531104832113190"</f>
        <v>299420210531104832113190</v>
      </c>
      <c r="C2537" s="6" t="s">
        <v>553</v>
      </c>
      <c r="D2537" s="6" t="str">
        <f>"吴晓颜"</f>
        <v>吴晓颜</v>
      </c>
      <c r="E2537" s="6" t="str">
        <f t="shared" si="90"/>
        <v>女</v>
      </c>
    </row>
    <row r="2538" spans="1:5" ht="30" customHeight="1">
      <c r="A2538" s="6">
        <v>2536</v>
      </c>
      <c r="B2538" s="6" t="str">
        <f>"299420210531104932113191"</f>
        <v>299420210531104932113191</v>
      </c>
      <c r="C2538" s="6" t="s">
        <v>553</v>
      </c>
      <c r="D2538" s="6" t="str">
        <f>"张少燕"</f>
        <v>张少燕</v>
      </c>
      <c r="E2538" s="6" t="str">
        <f t="shared" si="90"/>
        <v>女</v>
      </c>
    </row>
    <row r="2539" spans="1:5" ht="30" customHeight="1">
      <c r="A2539" s="6">
        <v>2537</v>
      </c>
      <c r="B2539" s="6" t="str">
        <f>"299420210531105015113194"</f>
        <v>299420210531105015113194</v>
      </c>
      <c r="C2539" s="6" t="s">
        <v>553</v>
      </c>
      <c r="D2539" s="6" t="str">
        <f>"刘亲"</f>
        <v>刘亲</v>
      </c>
      <c r="E2539" s="6" t="str">
        <f t="shared" si="90"/>
        <v>女</v>
      </c>
    </row>
    <row r="2540" spans="1:5" ht="30" customHeight="1">
      <c r="A2540" s="6">
        <v>2538</v>
      </c>
      <c r="B2540" s="6" t="str">
        <f>"299420210531110334113218"</f>
        <v>299420210531110334113218</v>
      </c>
      <c r="C2540" s="6" t="s">
        <v>553</v>
      </c>
      <c r="D2540" s="6" t="str">
        <f>"王声佩"</f>
        <v>王声佩</v>
      </c>
      <c r="E2540" s="6" t="str">
        <f t="shared" si="90"/>
        <v>女</v>
      </c>
    </row>
    <row r="2541" spans="1:5" ht="30" customHeight="1">
      <c r="A2541" s="6">
        <v>2539</v>
      </c>
      <c r="B2541" s="6" t="str">
        <f>"299420210531111532113238"</f>
        <v>299420210531111532113238</v>
      </c>
      <c r="C2541" s="6" t="s">
        <v>553</v>
      </c>
      <c r="D2541" s="6" t="str">
        <f>"郎文君"</f>
        <v>郎文君</v>
      </c>
      <c r="E2541" s="6" t="str">
        <f t="shared" si="90"/>
        <v>女</v>
      </c>
    </row>
    <row r="2542" spans="1:5" ht="30" customHeight="1">
      <c r="A2542" s="6">
        <v>2540</v>
      </c>
      <c r="B2542" s="6" t="str">
        <f>"299420210531111543113239"</f>
        <v>299420210531111543113239</v>
      </c>
      <c r="C2542" s="6" t="s">
        <v>553</v>
      </c>
      <c r="D2542" s="6" t="str">
        <f>"符秀娜"</f>
        <v>符秀娜</v>
      </c>
      <c r="E2542" s="6" t="str">
        <f t="shared" si="90"/>
        <v>女</v>
      </c>
    </row>
    <row r="2543" spans="1:5" ht="30" customHeight="1">
      <c r="A2543" s="6">
        <v>2541</v>
      </c>
      <c r="B2543" s="6" t="str">
        <f>"299420210531112114113248"</f>
        <v>299420210531112114113248</v>
      </c>
      <c r="C2543" s="6" t="s">
        <v>553</v>
      </c>
      <c r="D2543" s="6" t="str">
        <f>"周慧"</f>
        <v>周慧</v>
      </c>
      <c r="E2543" s="6" t="str">
        <f t="shared" si="90"/>
        <v>女</v>
      </c>
    </row>
    <row r="2544" spans="1:5" ht="30" customHeight="1">
      <c r="A2544" s="6">
        <v>2542</v>
      </c>
      <c r="B2544" s="6" t="str">
        <f>"299420210531113216113261"</f>
        <v>299420210531113216113261</v>
      </c>
      <c r="C2544" s="6" t="s">
        <v>553</v>
      </c>
      <c r="D2544" s="6" t="str">
        <f>"马妍"</f>
        <v>马妍</v>
      </c>
      <c r="E2544" s="6" t="str">
        <f t="shared" si="90"/>
        <v>女</v>
      </c>
    </row>
    <row r="2545" spans="1:5" ht="30" customHeight="1">
      <c r="A2545" s="6">
        <v>2543</v>
      </c>
      <c r="B2545" s="6" t="str">
        <f>"299420210531113631113265"</f>
        <v>299420210531113631113265</v>
      </c>
      <c r="C2545" s="6" t="s">
        <v>553</v>
      </c>
      <c r="D2545" s="6" t="str">
        <f>"陈新颖"</f>
        <v>陈新颖</v>
      </c>
      <c r="E2545" s="6" t="str">
        <f t="shared" si="90"/>
        <v>女</v>
      </c>
    </row>
    <row r="2546" spans="1:5" ht="30" customHeight="1">
      <c r="A2546" s="6">
        <v>2544</v>
      </c>
      <c r="B2546" s="6" t="str">
        <f>"299420210531121633113307"</f>
        <v>299420210531121633113307</v>
      </c>
      <c r="C2546" s="6" t="s">
        <v>553</v>
      </c>
      <c r="D2546" s="6" t="str">
        <f>"蔡丽芳"</f>
        <v>蔡丽芳</v>
      </c>
      <c r="E2546" s="6" t="str">
        <f t="shared" si="90"/>
        <v>女</v>
      </c>
    </row>
    <row r="2547" spans="1:5" ht="30" customHeight="1">
      <c r="A2547" s="6">
        <v>2545</v>
      </c>
      <c r="B2547" s="6" t="str">
        <f>"299420210531121806113310"</f>
        <v>299420210531121806113310</v>
      </c>
      <c r="C2547" s="6" t="s">
        <v>553</v>
      </c>
      <c r="D2547" s="6" t="str">
        <f>"蔡燕萍"</f>
        <v>蔡燕萍</v>
      </c>
      <c r="E2547" s="6" t="str">
        <f t="shared" si="90"/>
        <v>女</v>
      </c>
    </row>
    <row r="2548" spans="1:5" ht="30" customHeight="1">
      <c r="A2548" s="6">
        <v>2546</v>
      </c>
      <c r="B2548" s="6" t="str">
        <f>"299420210531123738113336"</f>
        <v>299420210531123738113336</v>
      </c>
      <c r="C2548" s="6" t="s">
        <v>553</v>
      </c>
      <c r="D2548" s="6" t="str">
        <f>"郭圣代"</f>
        <v>郭圣代</v>
      </c>
      <c r="E2548" s="6" t="str">
        <f t="shared" si="90"/>
        <v>女</v>
      </c>
    </row>
    <row r="2549" spans="1:5" ht="30" customHeight="1">
      <c r="A2549" s="6">
        <v>2547</v>
      </c>
      <c r="B2549" s="6" t="str">
        <f>"299420210531130423113377"</f>
        <v>299420210531130423113377</v>
      </c>
      <c r="C2549" s="6" t="s">
        <v>553</v>
      </c>
      <c r="D2549" s="6" t="str">
        <f>"聂香精"</f>
        <v>聂香精</v>
      </c>
      <c r="E2549" s="6" t="str">
        <f t="shared" si="90"/>
        <v>女</v>
      </c>
    </row>
    <row r="2550" spans="1:5" ht="30" customHeight="1">
      <c r="A2550" s="6">
        <v>2548</v>
      </c>
      <c r="B2550" s="6" t="str">
        <f>"299420210531130526113380"</f>
        <v>299420210531130526113380</v>
      </c>
      <c r="C2550" s="6" t="s">
        <v>553</v>
      </c>
      <c r="D2550" s="6" t="str">
        <f>"梁语珈"</f>
        <v>梁语珈</v>
      </c>
      <c r="E2550" s="6" t="str">
        <f t="shared" si="90"/>
        <v>女</v>
      </c>
    </row>
    <row r="2551" spans="1:5" ht="30" customHeight="1">
      <c r="A2551" s="6">
        <v>2549</v>
      </c>
      <c r="B2551" s="6" t="str">
        <f>"299420210531131012113389"</f>
        <v>299420210531131012113389</v>
      </c>
      <c r="C2551" s="6" t="s">
        <v>553</v>
      </c>
      <c r="D2551" s="6" t="str">
        <f>"黄姜"</f>
        <v>黄姜</v>
      </c>
      <c r="E2551" s="6" t="str">
        <f t="shared" si="90"/>
        <v>女</v>
      </c>
    </row>
    <row r="2552" spans="1:5" ht="30" customHeight="1">
      <c r="A2552" s="6">
        <v>2550</v>
      </c>
      <c r="B2552" s="6" t="str">
        <f>"299420210531145105113506"</f>
        <v>299420210531145105113506</v>
      </c>
      <c r="C2552" s="6" t="s">
        <v>553</v>
      </c>
      <c r="D2552" s="6" t="str">
        <f>"王小惠"</f>
        <v>王小惠</v>
      </c>
      <c r="E2552" s="6" t="str">
        <f t="shared" si="90"/>
        <v>女</v>
      </c>
    </row>
    <row r="2553" spans="1:5" ht="30" customHeight="1">
      <c r="A2553" s="6">
        <v>2551</v>
      </c>
      <c r="B2553" s="6" t="str">
        <f>"299420210531150331113536"</f>
        <v>299420210531150331113536</v>
      </c>
      <c r="C2553" s="6" t="s">
        <v>553</v>
      </c>
      <c r="D2553" s="6" t="str">
        <f>"符庆宽"</f>
        <v>符庆宽</v>
      </c>
      <c r="E2553" s="6" t="str">
        <f>"男"</f>
        <v>男</v>
      </c>
    </row>
    <row r="2554" spans="1:5" ht="30" customHeight="1">
      <c r="A2554" s="6">
        <v>2552</v>
      </c>
      <c r="B2554" s="6" t="str">
        <f>"299420210531151947113566"</f>
        <v>299420210531151947113566</v>
      </c>
      <c r="C2554" s="6" t="s">
        <v>553</v>
      </c>
      <c r="D2554" s="6" t="str">
        <f>"吴钟泰"</f>
        <v>吴钟泰</v>
      </c>
      <c r="E2554" s="6" t="str">
        <f>"男"</f>
        <v>男</v>
      </c>
    </row>
    <row r="2555" spans="1:5" ht="30" customHeight="1">
      <c r="A2555" s="6">
        <v>2553</v>
      </c>
      <c r="B2555" s="6" t="str">
        <f>"299420210531152057113569"</f>
        <v>299420210531152057113569</v>
      </c>
      <c r="C2555" s="6" t="s">
        <v>553</v>
      </c>
      <c r="D2555" s="6" t="str">
        <f>"王春琼"</f>
        <v>王春琼</v>
      </c>
      <c r="E2555" s="6" t="str">
        <f>"女"</f>
        <v>女</v>
      </c>
    </row>
    <row r="2556" spans="1:5" ht="30" customHeight="1">
      <c r="A2556" s="6">
        <v>2554</v>
      </c>
      <c r="B2556" s="6" t="str">
        <f>"299420210531152924113579"</f>
        <v>299420210531152924113579</v>
      </c>
      <c r="C2556" s="6" t="s">
        <v>553</v>
      </c>
      <c r="D2556" s="6" t="str">
        <f>"符雲玉"</f>
        <v>符雲玉</v>
      </c>
      <c r="E2556" s="6" t="str">
        <f>"女"</f>
        <v>女</v>
      </c>
    </row>
    <row r="2557" spans="1:5" ht="30" customHeight="1">
      <c r="A2557" s="6">
        <v>2555</v>
      </c>
      <c r="B2557" s="6" t="str">
        <f>"299420210531155444113622"</f>
        <v>299420210531155444113622</v>
      </c>
      <c r="C2557" s="6" t="s">
        <v>553</v>
      </c>
      <c r="D2557" s="6" t="str">
        <f>"蔡茜娜"</f>
        <v>蔡茜娜</v>
      </c>
      <c r="E2557" s="6" t="str">
        <f>"女"</f>
        <v>女</v>
      </c>
    </row>
    <row r="2558" spans="1:5" ht="30" customHeight="1">
      <c r="A2558" s="6">
        <v>2556</v>
      </c>
      <c r="B2558" s="6" t="s">
        <v>554</v>
      </c>
      <c r="C2558" s="6" t="s">
        <v>555</v>
      </c>
      <c r="D2558" s="6" t="s">
        <v>556</v>
      </c>
      <c r="E2558" s="6" t="s">
        <v>32</v>
      </c>
    </row>
    <row r="2559" spans="1:5" ht="30" customHeight="1">
      <c r="A2559" s="6">
        <v>2557</v>
      </c>
      <c r="B2559" s="6" t="s">
        <v>557</v>
      </c>
      <c r="C2559" s="6" t="s">
        <v>555</v>
      </c>
      <c r="D2559" s="6" t="s">
        <v>558</v>
      </c>
      <c r="E2559" s="6" t="s">
        <v>32</v>
      </c>
    </row>
    <row r="2560" spans="1:5" ht="30" customHeight="1">
      <c r="A2560" s="6">
        <v>2558</v>
      </c>
      <c r="B2560" s="6" t="s">
        <v>559</v>
      </c>
      <c r="C2560" s="6" t="s">
        <v>555</v>
      </c>
      <c r="D2560" s="6" t="s">
        <v>560</v>
      </c>
      <c r="E2560" s="6" t="s">
        <v>32</v>
      </c>
    </row>
    <row r="2561" spans="1:5" ht="30" customHeight="1">
      <c r="A2561" s="6">
        <v>2559</v>
      </c>
      <c r="B2561" s="6" t="s">
        <v>561</v>
      </c>
      <c r="C2561" s="6" t="s">
        <v>555</v>
      </c>
      <c r="D2561" s="6" t="s">
        <v>562</v>
      </c>
      <c r="E2561" s="6" t="s">
        <v>32</v>
      </c>
    </row>
    <row r="2562" spans="1:5" ht="30" customHeight="1">
      <c r="A2562" s="6">
        <v>2560</v>
      </c>
      <c r="B2562" s="6" t="s">
        <v>563</v>
      </c>
      <c r="C2562" s="6" t="s">
        <v>555</v>
      </c>
      <c r="D2562" s="6" t="s">
        <v>564</v>
      </c>
      <c r="E2562" s="6" t="s">
        <v>32</v>
      </c>
    </row>
    <row r="2563" spans="1:5" ht="30" customHeight="1">
      <c r="A2563" s="6">
        <v>2561</v>
      </c>
      <c r="B2563" s="6" t="s">
        <v>565</v>
      </c>
      <c r="C2563" s="6" t="s">
        <v>555</v>
      </c>
      <c r="D2563" s="6" t="s">
        <v>566</v>
      </c>
      <c r="E2563" s="6" t="s">
        <v>32</v>
      </c>
    </row>
    <row r="2564" spans="1:5" ht="30" customHeight="1">
      <c r="A2564" s="6">
        <v>2562</v>
      </c>
      <c r="B2564" s="6" t="s">
        <v>567</v>
      </c>
      <c r="C2564" s="6" t="s">
        <v>555</v>
      </c>
      <c r="D2564" s="6" t="s">
        <v>568</v>
      </c>
      <c r="E2564" s="6" t="s">
        <v>32</v>
      </c>
    </row>
    <row r="2565" spans="1:5" ht="30" customHeight="1">
      <c r="A2565" s="6">
        <v>2563</v>
      </c>
      <c r="B2565" s="6" t="s">
        <v>569</v>
      </c>
      <c r="C2565" s="6" t="s">
        <v>555</v>
      </c>
      <c r="D2565" s="6" t="s">
        <v>570</v>
      </c>
      <c r="E2565" s="6" t="s">
        <v>32</v>
      </c>
    </row>
    <row r="2566" spans="1:5" ht="30" customHeight="1">
      <c r="A2566" s="6">
        <v>2564</v>
      </c>
      <c r="B2566" s="6" t="s">
        <v>571</v>
      </c>
      <c r="C2566" s="6" t="s">
        <v>555</v>
      </c>
      <c r="D2566" s="6" t="s">
        <v>572</v>
      </c>
      <c r="E2566" s="6" t="s">
        <v>32</v>
      </c>
    </row>
    <row r="2567" spans="1:5" ht="30" customHeight="1">
      <c r="A2567" s="6">
        <v>2565</v>
      </c>
      <c r="B2567" s="6" t="s">
        <v>573</v>
      </c>
      <c r="C2567" s="6" t="s">
        <v>555</v>
      </c>
      <c r="D2567" s="6" t="s">
        <v>574</v>
      </c>
      <c r="E2567" s="6" t="s">
        <v>32</v>
      </c>
    </row>
    <row r="2568" spans="1:5" ht="30" customHeight="1">
      <c r="A2568" s="6">
        <v>2566</v>
      </c>
      <c r="B2568" s="6" t="s">
        <v>575</v>
      </c>
      <c r="C2568" s="6" t="s">
        <v>555</v>
      </c>
      <c r="D2568" s="6" t="s">
        <v>576</v>
      </c>
      <c r="E2568" s="6" t="s">
        <v>32</v>
      </c>
    </row>
    <row r="2569" spans="1:5" ht="30" customHeight="1">
      <c r="A2569" s="6">
        <v>2567</v>
      </c>
      <c r="B2569" s="6" t="s">
        <v>577</v>
      </c>
      <c r="C2569" s="6" t="s">
        <v>555</v>
      </c>
      <c r="D2569" s="6" t="s">
        <v>578</v>
      </c>
      <c r="E2569" s="6" t="s">
        <v>32</v>
      </c>
    </row>
    <row r="2570" spans="1:5" ht="30" customHeight="1">
      <c r="A2570" s="6">
        <v>2568</v>
      </c>
      <c r="B2570" s="6" t="s">
        <v>579</v>
      </c>
      <c r="C2570" s="6" t="s">
        <v>555</v>
      </c>
      <c r="D2570" s="6" t="s">
        <v>580</v>
      </c>
      <c r="E2570" s="6" t="s">
        <v>32</v>
      </c>
    </row>
    <row r="2571" spans="1:5" ht="30" customHeight="1">
      <c r="A2571" s="6">
        <v>2569</v>
      </c>
      <c r="B2571" s="6" t="s">
        <v>581</v>
      </c>
      <c r="C2571" s="6" t="s">
        <v>555</v>
      </c>
      <c r="D2571" s="6" t="s">
        <v>582</v>
      </c>
      <c r="E2571" s="6" t="s">
        <v>32</v>
      </c>
    </row>
    <row r="2572" spans="1:5" ht="30" customHeight="1">
      <c r="A2572" s="6">
        <v>2570</v>
      </c>
      <c r="B2572" s="6" t="s">
        <v>583</v>
      </c>
      <c r="C2572" s="6" t="s">
        <v>555</v>
      </c>
      <c r="D2572" s="6" t="s">
        <v>584</v>
      </c>
      <c r="E2572" s="6" t="s">
        <v>32</v>
      </c>
    </row>
    <row r="2573" spans="1:5" ht="30" customHeight="1">
      <c r="A2573" s="6">
        <v>2571</v>
      </c>
      <c r="B2573" s="6" t="s">
        <v>585</v>
      </c>
      <c r="C2573" s="6" t="s">
        <v>555</v>
      </c>
      <c r="D2573" s="6" t="s">
        <v>586</v>
      </c>
      <c r="E2573" s="6" t="s">
        <v>32</v>
      </c>
    </row>
    <row r="2574" spans="1:5" ht="30" customHeight="1">
      <c r="A2574" s="6">
        <v>2572</v>
      </c>
      <c r="B2574" s="6" t="s">
        <v>587</v>
      </c>
      <c r="C2574" s="6" t="s">
        <v>555</v>
      </c>
      <c r="D2574" s="6" t="s">
        <v>588</v>
      </c>
      <c r="E2574" s="6" t="s">
        <v>32</v>
      </c>
    </row>
    <row r="2575" spans="1:5" ht="30" customHeight="1">
      <c r="A2575" s="6">
        <v>2573</v>
      </c>
      <c r="B2575" s="6" t="s">
        <v>589</v>
      </c>
      <c r="C2575" s="6" t="s">
        <v>555</v>
      </c>
      <c r="D2575" s="6" t="s">
        <v>590</v>
      </c>
      <c r="E2575" s="6" t="s">
        <v>32</v>
      </c>
    </row>
    <row r="2576" spans="1:5" ht="30" customHeight="1">
      <c r="A2576" s="6">
        <v>2574</v>
      </c>
      <c r="B2576" s="6" t="s">
        <v>591</v>
      </c>
      <c r="C2576" s="6" t="s">
        <v>555</v>
      </c>
      <c r="D2576" s="6" t="s">
        <v>592</v>
      </c>
      <c r="E2576" s="6" t="s">
        <v>32</v>
      </c>
    </row>
    <row r="2577" spans="1:5" ht="30" customHeight="1">
      <c r="A2577" s="6">
        <v>2575</v>
      </c>
      <c r="B2577" s="6" t="s">
        <v>593</v>
      </c>
      <c r="C2577" s="6" t="s">
        <v>555</v>
      </c>
      <c r="D2577" s="6" t="s">
        <v>594</v>
      </c>
      <c r="E2577" s="6" t="s">
        <v>32</v>
      </c>
    </row>
    <row r="2578" spans="1:5" ht="30" customHeight="1">
      <c r="A2578" s="6">
        <v>2576</v>
      </c>
      <c r="B2578" s="6" t="s">
        <v>595</v>
      </c>
      <c r="C2578" s="6" t="s">
        <v>555</v>
      </c>
      <c r="D2578" s="6" t="s">
        <v>596</v>
      </c>
      <c r="E2578" s="6" t="s">
        <v>32</v>
      </c>
    </row>
    <row r="2579" spans="1:5" ht="30" customHeight="1">
      <c r="A2579" s="6">
        <v>2577</v>
      </c>
      <c r="B2579" s="6" t="s">
        <v>597</v>
      </c>
      <c r="C2579" s="6" t="s">
        <v>555</v>
      </c>
      <c r="D2579" s="6" t="s">
        <v>598</v>
      </c>
      <c r="E2579" s="6" t="s">
        <v>32</v>
      </c>
    </row>
    <row r="2580" spans="1:5" ht="30" customHeight="1">
      <c r="A2580" s="6">
        <v>2578</v>
      </c>
      <c r="B2580" s="6" t="s">
        <v>599</v>
      </c>
      <c r="C2580" s="6" t="s">
        <v>555</v>
      </c>
      <c r="D2580" s="6" t="s">
        <v>600</v>
      </c>
      <c r="E2580" s="6" t="s">
        <v>32</v>
      </c>
    </row>
    <row r="2581" spans="1:5" ht="30" customHeight="1">
      <c r="A2581" s="6">
        <v>2579</v>
      </c>
      <c r="B2581" s="6" t="s">
        <v>601</v>
      </c>
      <c r="C2581" s="6" t="s">
        <v>555</v>
      </c>
      <c r="D2581" s="6" t="s">
        <v>602</v>
      </c>
      <c r="E2581" s="6" t="s">
        <v>32</v>
      </c>
    </row>
    <row r="2582" spans="1:5" ht="30" customHeight="1">
      <c r="A2582" s="6">
        <v>2580</v>
      </c>
      <c r="B2582" s="6" t="s">
        <v>603</v>
      </c>
      <c r="C2582" s="6" t="s">
        <v>555</v>
      </c>
      <c r="D2582" s="6" t="s">
        <v>604</v>
      </c>
      <c r="E2582" s="6" t="s">
        <v>32</v>
      </c>
    </row>
    <row r="2583" spans="1:5" ht="30" customHeight="1">
      <c r="A2583" s="6">
        <v>2581</v>
      </c>
      <c r="B2583" s="6" t="s">
        <v>605</v>
      </c>
      <c r="C2583" s="6" t="s">
        <v>555</v>
      </c>
      <c r="D2583" s="6" t="s">
        <v>606</v>
      </c>
      <c r="E2583" s="6" t="s">
        <v>32</v>
      </c>
    </row>
    <row r="2584" spans="1:5" ht="30" customHeight="1">
      <c r="A2584" s="6">
        <v>2582</v>
      </c>
      <c r="B2584" s="6" t="s">
        <v>607</v>
      </c>
      <c r="C2584" s="6" t="s">
        <v>555</v>
      </c>
      <c r="D2584" s="6" t="s">
        <v>608</v>
      </c>
      <c r="E2584" s="6" t="s">
        <v>32</v>
      </c>
    </row>
    <row r="2585" spans="1:5" ht="30" customHeight="1">
      <c r="A2585" s="6">
        <v>2583</v>
      </c>
      <c r="B2585" s="6" t="s">
        <v>609</v>
      </c>
      <c r="C2585" s="6" t="s">
        <v>555</v>
      </c>
      <c r="D2585" s="6" t="s">
        <v>610</v>
      </c>
      <c r="E2585" s="6" t="s">
        <v>32</v>
      </c>
    </row>
    <row r="2586" spans="1:5" ht="30" customHeight="1">
      <c r="A2586" s="6">
        <v>2584</v>
      </c>
      <c r="B2586" s="6" t="s">
        <v>611</v>
      </c>
      <c r="C2586" s="6" t="s">
        <v>555</v>
      </c>
      <c r="D2586" s="6" t="s">
        <v>612</v>
      </c>
      <c r="E2586" s="6" t="s">
        <v>32</v>
      </c>
    </row>
    <row r="2587" spans="1:5" ht="30" customHeight="1">
      <c r="A2587" s="6">
        <v>2585</v>
      </c>
      <c r="B2587" s="6" t="s">
        <v>613</v>
      </c>
      <c r="C2587" s="6" t="s">
        <v>555</v>
      </c>
      <c r="D2587" s="6" t="s">
        <v>614</v>
      </c>
      <c r="E2587" s="6" t="s">
        <v>32</v>
      </c>
    </row>
    <row r="2588" spans="1:5" ht="30" customHeight="1">
      <c r="A2588" s="6">
        <v>2586</v>
      </c>
      <c r="B2588" s="6" t="s">
        <v>615</v>
      </c>
      <c r="C2588" s="6" t="s">
        <v>555</v>
      </c>
      <c r="D2588" s="6" t="s">
        <v>616</v>
      </c>
      <c r="E2588" s="6" t="s">
        <v>32</v>
      </c>
    </row>
    <row r="2589" spans="1:5" ht="30" customHeight="1">
      <c r="A2589" s="6">
        <v>2587</v>
      </c>
      <c r="B2589" s="6" t="s">
        <v>617</v>
      </c>
      <c r="C2589" s="6" t="s">
        <v>555</v>
      </c>
      <c r="D2589" s="6" t="s">
        <v>618</v>
      </c>
      <c r="E2589" s="6" t="s">
        <v>32</v>
      </c>
    </row>
    <row r="2590" spans="1:5" ht="30" customHeight="1">
      <c r="A2590" s="6">
        <v>2588</v>
      </c>
      <c r="B2590" s="6" t="s">
        <v>619</v>
      </c>
      <c r="C2590" s="6" t="s">
        <v>555</v>
      </c>
      <c r="D2590" s="6" t="s">
        <v>620</v>
      </c>
      <c r="E2590" s="6" t="s">
        <v>32</v>
      </c>
    </row>
    <row r="2591" spans="1:5" ht="30" customHeight="1">
      <c r="A2591" s="6">
        <v>2589</v>
      </c>
      <c r="B2591" s="6" t="s">
        <v>621</v>
      </c>
      <c r="C2591" s="6" t="s">
        <v>555</v>
      </c>
      <c r="D2591" s="6" t="s">
        <v>622</v>
      </c>
      <c r="E2591" s="6" t="s">
        <v>32</v>
      </c>
    </row>
    <row r="2592" spans="1:5" ht="30" customHeight="1">
      <c r="A2592" s="6">
        <v>2590</v>
      </c>
      <c r="B2592" s="6" t="s">
        <v>623</v>
      </c>
      <c r="C2592" s="6" t="s">
        <v>555</v>
      </c>
      <c r="D2592" s="6" t="s">
        <v>624</v>
      </c>
      <c r="E2592" s="6" t="s">
        <v>32</v>
      </c>
    </row>
    <row r="2593" spans="1:5" ht="30" customHeight="1">
      <c r="A2593" s="6">
        <v>2591</v>
      </c>
      <c r="B2593" s="6" t="s">
        <v>625</v>
      </c>
      <c r="C2593" s="6" t="s">
        <v>555</v>
      </c>
      <c r="D2593" s="6" t="s">
        <v>626</v>
      </c>
      <c r="E2593" s="6" t="s">
        <v>32</v>
      </c>
    </row>
    <row r="2594" spans="1:5" ht="30" customHeight="1">
      <c r="A2594" s="6">
        <v>2592</v>
      </c>
      <c r="B2594" s="6" t="s">
        <v>627</v>
      </c>
      <c r="C2594" s="6" t="s">
        <v>555</v>
      </c>
      <c r="D2594" s="6" t="s">
        <v>628</v>
      </c>
      <c r="E2594" s="6" t="s">
        <v>32</v>
      </c>
    </row>
    <row r="2595" spans="1:5" ht="30" customHeight="1">
      <c r="A2595" s="6">
        <v>2593</v>
      </c>
      <c r="B2595" s="6" t="s">
        <v>629</v>
      </c>
      <c r="C2595" s="6" t="s">
        <v>555</v>
      </c>
      <c r="D2595" s="6" t="s">
        <v>630</v>
      </c>
      <c r="E2595" s="6" t="s">
        <v>32</v>
      </c>
    </row>
    <row r="2596" spans="1:5" ht="30" customHeight="1">
      <c r="A2596" s="6">
        <v>2594</v>
      </c>
      <c r="B2596" s="6" t="s">
        <v>631</v>
      </c>
      <c r="C2596" s="6" t="s">
        <v>555</v>
      </c>
      <c r="D2596" s="6" t="s">
        <v>632</v>
      </c>
      <c r="E2596" s="6" t="s">
        <v>32</v>
      </c>
    </row>
    <row r="2597" spans="1:5" ht="30" customHeight="1">
      <c r="A2597" s="6">
        <v>2595</v>
      </c>
      <c r="B2597" s="6" t="s">
        <v>633</v>
      </c>
      <c r="C2597" s="6" t="s">
        <v>555</v>
      </c>
      <c r="D2597" s="6" t="s">
        <v>634</v>
      </c>
      <c r="E2597" s="6" t="s">
        <v>32</v>
      </c>
    </row>
    <row r="2598" spans="1:5" ht="30" customHeight="1">
      <c r="A2598" s="6">
        <v>2596</v>
      </c>
      <c r="B2598" s="6" t="s">
        <v>635</v>
      </c>
      <c r="C2598" s="6" t="s">
        <v>555</v>
      </c>
      <c r="D2598" s="6" t="s">
        <v>636</v>
      </c>
      <c r="E2598" s="6" t="s">
        <v>32</v>
      </c>
    </row>
    <row r="2599" spans="1:5" ht="30" customHeight="1">
      <c r="A2599" s="6">
        <v>2597</v>
      </c>
      <c r="B2599" s="6" t="s">
        <v>637</v>
      </c>
      <c r="C2599" s="6" t="s">
        <v>555</v>
      </c>
      <c r="D2599" s="6" t="s">
        <v>638</v>
      </c>
      <c r="E2599" s="6" t="s">
        <v>32</v>
      </c>
    </row>
    <row r="2600" spans="1:5" ht="30" customHeight="1">
      <c r="A2600" s="6">
        <v>2598</v>
      </c>
      <c r="B2600" s="6" t="s">
        <v>639</v>
      </c>
      <c r="C2600" s="6" t="s">
        <v>555</v>
      </c>
      <c r="D2600" s="6" t="s">
        <v>640</v>
      </c>
      <c r="E2600" s="6" t="s">
        <v>32</v>
      </c>
    </row>
    <row r="2601" spans="1:5" ht="30" customHeight="1">
      <c r="A2601" s="6">
        <v>2599</v>
      </c>
      <c r="B2601" s="6" t="s">
        <v>641</v>
      </c>
      <c r="C2601" s="6" t="s">
        <v>555</v>
      </c>
      <c r="D2601" s="6" t="s">
        <v>642</v>
      </c>
      <c r="E2601" s="6" t="s">
        <v>32</v>
      </c>
    </row>
    <row r="2602" spans="1:5" ht="30" customHeight="1">
      <c r="A2602" s="6">
        <v>2600</v>
      </c>
      <c r="B2602" s="6" t="s">
        <v>643</v>
      </c>
      <c r="C2602" s="6" t="s">
        <v>555</v>
      </c>
      <c r="D2602" s="6" t="s">
        <v>644</v>
      </c>
      <c r="E2602" s="6" t="s">
        <v>32</v>
      </c>
    </row>
    <row r="2603" spans="1:5" ht="30" customHeight="1">
      <c r="A2603" s="6">
        <v>2601</v>
      </c>
      <c r="B2603" s="6" t="s">
        <v>645</v>
      </c>
      <c r="C2603" s="6" t="s">
        <v>555</v>
      </c>
      <c r="D2603" s="6" t="s">
        <v>646</v>
      </c>
      <c r="E2603" s="6" t="s">
        <v>32</v>
      </c>
    </row>
    <row r="2604" spans="1:5" ht="30" customHeight="1">
      <c r="A2604" s="6">
        <v>2602</v>
      </c>
      <c r="B2604" s="6" t="s">
        <v>647</v>
      </c>
      <c r="C2604" s="6" t="s">
        <v>555</v>
      </c>
      <c r="D2604" s="6" t="s">
        <v>648</v>
      </c>
      <c r="E2604" s="6" t="s">
        <v>32</v>
      </c>
    </row>
    <row r="2605" spans="1:5" ht="30" customHeight="1">
      <c r="A2605" s="6">
        <v>2603</v>
      </c>
      <c r="B2605" s="6" t="s">
        <v>649</v>
      </c>
      <c r="C2605" s="6" t="s">
        <v>555</v>
      </c>
      <c r="D2605" s="6" t="s">
        <v>650</v>
      </c>
      <c r="E2605" s="6" t="s">
        <v>32</v>
      </c>
    </row>
    <row r="2606" spans="1:5" ht="30" customHeight="1">
      <c r="A2606" s="6">
        <v>2604</v>
      </c>
      <c r="B2606" s="6" t="s">
        <v>651</v>
      </c>
      <c r="C2606" s="6" t="s">
        <v>555</v>
      </c>
      <c r="D2606" s="6" t="s">
        <v>652</v>
      </c>
      <c r="E2606" s="6" t="s">
        <v>32</v>
      </c>
    </row>
    <row r="2607" spans="1:5" ht="30" customHeight="1">
      <c r="A2607" s="6">
        <v>2605</v>
      </c>
      <c r="B2607" s="6" t="s">
        <v>653</v>
      </c>
      <c r="C2607" s="6" t="s">
        <v>555</v>
      </c>
      <c r="D2607" s="6" t="s">
        <v>654</v>
      </c>
      <c r="E2607" s="6" t="s">
        <v>32</v>
      </c>
    </row>
    <row r="2608" spans="1:5" ht="30" customHeight="1">
      <c r="A2608" s="6">
        <v>2606</v>
      </c>
      <c r="B2608" s="6" t="s">
        <v>655</v>
      </c>
      <c r="C2608" s="6" t="s">
        <v>555</v>
      </c>
      <c r="D2608" s="6" t="s">
        <v>656</v>
      </c>
      <c r="E2608" s="6" t="s">
        <v>32</v>
      </c>
    </row>
    <row r="2609" spans="1:5" ht="30" customHeight="1">
      <c r="A2609" s="6">
        <v>2607</v>
      </c>
      <c r="B2609" s="6" t="s">
        <v>657</v>
      </c>
      <c r="C2609" s="6" t="s">
        <v>555</v>
      </c>
      <c r="D2609" s="6" t="s">
        <v>658</v>
      </c>
      <c r="E2609" s="6" t="s">
        <v>32</v>
      </c>
    </row>
    <row r="2610" spans="1:5" ht="30" customHeight="1">
      <c r="A2610" s="6">
        <v>2608</v>
      </c>
      <c r="B2610" s="6" t="s">
        <v>659</v>
      </c>
      <c r="C2610" s="6" t="s">
        <v>555</v>
      </c>
      <c r="D2610" s="6" t="s">
        <v>660</v>
      </c>
      <c r="E2610" s="6" t="s">
        <v>32</v>
      </c>
    </row>
    <row r="2611" spans="1:5" ht="30" customHeight="1">
      <c r="A2611" s="6">
        <v>2609</v>
      </c>
      <c r="B2611" s="6" t="s">
        <v>661</v>
      </c>
      <c r="C2611" s="6" t="s">
        <v>555</v>
      </c>
      <c r="D2611" s="6" t="s">
        <v>662</v>
      </c>
      <c r="E2611" s="6" t="s">
        <v>32</v>
      </c>
    </row>
    <row r="2612" spans="1:5" ht="30" customHeight="1">
      <c r="A2612" s="6">
        <v>2610</v>
      </c>
      <c r="B2612" s="6" t="s">
        <v>663</v>
      </c>
      <c r="C2612" s="6" t="s">
        <v>555</v>
      </c>
      <c r="D2612" s="6" t="s">
        <v>664</v>
      </c>
      <c r="E2612" s="6" t="s">
        <v>32</v>
      </c>
    </row>
    <row r="2613" spans="1:5" ht="30" customHeight="1">
      <c r="A2613" s="6">
        <v>2611</v>
      </c>
      <c r="B2613" s="6" t="s">
        <v>665</v>
      </c>
      <c r="C2613" s="6" t="s">
        <v>555</v>
      </c>
      <c r="D2613" s="6" t="s">
        <v>666</v>
      </c>
      <c r="E2613" s="6" t="s">
        <v>32</v>
      </c>
    </row>
    <row r="2614" spans="1:5" ht="30" customHeight="1">
      <c r="A2614" s="6">
        <v>2612</v>
      </c>
      <c r="B2614" s="6" t="s">
        <v>667</v>
      </c>
      <c r="C2614" s="6" t="s">
        <v>555</v>
      </c>
      <c r="D2614" s="6" t="s">
        <v>668</v>
      </c>
      <c r="E2614" s="6" t="s">
        <v>32</v>
      </c>
    </row>
    <row r="2615" spans="1:5" ht="30" customHeight="1">
      <c r="A2615" s="6">
        <v>2613</v>
      </c>
      <c r="B2615" s="6" t="s">
        <v>669</v>
      </c>
      <c r="C2615" s="6" t="s">
        <v>555</v>
      </c>
      <c r="D2615" s="6" t="s">
        <v>670</v>
      </c>
      <c r="E2615" s="6" t="s">
        <v>32</v>
      </c>
    </row>
    <row r="2616" spans="1:5" ht="30" customHeight="1">
      <c r="A2616" s="6">
        <v>2614</v>
      </c>
      <c r="B2616" s="6" t="s">
        <v>671</v>
      </c>
      <c r="C2616" s="6" t="s">
        <v>555</v>
      </c>
      <c r="D2616" s="6" t="s">
        <v>672</v>
      </c>
      <c r="E2616" s="6" t="s">
        <v>32</v>
      </c>
    </row>
    <row r="2617" spans="1:5" ht="30" customHeight="1">
      <c r="A2617" s="6">
        <v>2615</v>
      </c>
      <c r="B2617" s="6" t="s">
        <v>673</v>
      </c>
      <c r="C2617" s="6" t="s">
        <v>555</v>
      </c>
      <c r="D2617" s="6" t="s">
        <v>674</v>
      </c>
      <c r="E2617" s="6" t="s">
        <v>32</v>
      </c>
    </row>
    <row r="2618" spans="1:5" ht="30" customHeight="1">
      <c r="A2618" s="6">
        <v>2616</v>
      </c>
      <c r="B2618" s="6" t="s">
        <v>675</v>
      </c>
      <c r="C2618" s="6" t="s">
        <v>555</v>
      </c>
      <c r="D2618" s="6" t="s">
        <v>676</v>
      </c>
      <c r="E2618" s="6" t="s">
        <v>32</v>
      </c>
    </row>
    <row r="2619" spans="1:5" ht="30" customHeight="1">
      <c r="A2619" s="6">
        <v>2617</v>
      </c>
      <c r="B2619" s="6" t="s">
        <v>677</v>
      </c>
      <c r="C2619" s="6" t="s">
        <v>555</v>
      </c>
      <c r="D2619" s="6" t="s">
        <v>678</v>
      </c>
      <c r="E2619" s="6" t="s">
        <v>32</v>
      </c>
    </row>
    <row r="2620" spans="1:5" ht="30" customHeight="1">
      <c r="A2620" s="6">
        <v>2618</v>
      </c>
      <c r="B2620" s="6" t="s">
        <v>679</v>
      </c>
      <c r="C2620" s="6" t="s">
        <v>555</v>
      </c>
      <c r="D2620" s="6" t="s">
        <v>680</v>
      </c>
      <c r="E2620" s="6" t="s">
        <v>32</v>
      </c>
    </row>
    <row r="2621" spans="1:5" ht="30" customHeight="1">
      <c r="A2621" s="6">
        <v>2619</v>
      </c>
      <c r="B2621" s="6" t="s">
        <v>681</v>
      </c>
      <c r="C2621" s="6" t="s">
        <v>555</v>
      </c>
      <c r="D2621" s="6" t="s">
        <v>682</v>
      </c>
      <c r="E2621" s="6" t="s">
        <v>32</v>
      </c>
    </row>
    <row r="2622" spans="1:5" ht="30" customHeight="1">
      <c r="A2622" s="6">
        <v>2620</v>
      </c>
      <c r="B2622" s="6" t="s">
        <v>683</v>
      </c>
      <c r="C2622" s="6" t="s">
        <v>555</v>
      </c>
      <c r="D2622" s="6" t="s">
        <v>684</v>
      </c>
      <c r="E2622" s="6" t="s">
        <v>32</v>
      </c>
    </row>
    <row r="2623" spans="1:5" ht="30" customHeight="1">
      <c r="A2623" s="6">
        <v>2621</v>
      </c>
      <c r="B2623" s="6" t="s">
        <v>685</v>
      </c>
      <c r="C2623" s="6" t="s">
        <v>555</v>
      </c>
      <c r="D2623" s="6" t="s">
        <v>686</v>
      </c>
      <c r="E2623" s="6" t="s">
        <v>32</v>
      </c>
    </row>
    <row r="2624" spans="1:5" ht="30" customHeight="1">
      <c r="A2624" s="6">
        <v>2622</v>
      </c>
      <c r="B2624" s="6" t="s">
        <v>687</v>
      </c>
      <c r="C2624" s="6" t="s">
        <v>555</v>
      </c>
      <c r="D2624" s="6" t="s">
        <v>688</v>
      </c>
      <c r="E2624" s="6" t="s">
        <v>32</v>
      </c>
    </row>
    <row r="2625" spans="1:5" ht="30" customHeight="1">
      <c r="A2625" s="6">
        <v>2623</v>
      </c>
      <c r="B2625" s="6" t="s">
        <v>689</v>
      </c>
      <c r="C2625" s="6" t="s">
        <v>555</v>
      </c>
      <c r="D2625" s="6" t="s">
        <v>690</v>
      </c>
      <c r="E2625" s="6" t="s">
        <v>32</v>
      </c>
    </row>
    <row r="2626" spans="1:5" ht="30" customHeight="1">
      <c r="A2626" s="6">
        <v>2624</v>
      </c>
      <c r="B2626" s="6" t="s">
        <v>691</v>
      </c>
      <c r="C2626" s="6" t="s">
        <v>555</v>
      </c>
      <c r="D2626" s="6" t="s">
        <v>692</v>
      </c>
      <c r="E2626" s="6" t="s">
        <v>32</v>
      </c>
    </row>
    <row r="2627" spans="1:5" ht="30" customHeight="1">
      <c r="A2627" s="6">
        <v>2625</v>
      </c>
      <c r="B2627" s="6" t="s">
        <v>693</v>
      </c>
      <c r="C2627" s="6" t="s">
        <v>555</v>
      </c>
      <c r="D2627" s="6" t="s">
        <v>694</v>
      </c>
      <c r="E2627" s="6" t="s">
        <v>32</v>
      </c>
    </row>
    <row r="2628" spans="1:5" ht="30" customHeight="1">
      <c r="A2628" s="6">
        <v>2626</v>
      </c>
      <c r="B2628" s="6" t="s">
        <v>695</v>
      </c>
      <c r="C2628" s="6" t="s">
        <v>555</v>
      </c>
      <c r="D2628" s="6" t="s">
        <v>696</v>
      </c>
      <c r="E2628" s="6" t="s">
        <v>32</v>
      </c>
    </row>
    <row r="2629" spans="1:5" ht="30" customHeight="1">
      <c r="A2629" s="6">
        <v>2627</v>
      </c>
      <c r="B2629" s="6" t="s">
        <v>697</v>
      </c>
      <c r="C2629" s="6" t="s">
        <v>555</v>
      </c>
      <c r="D2629" s="6" t="s">
        <v>698</v>
      </c>
      <c r="E2629" s="6" t="s">
        <v>32</v>
      </c>
    </row>
    <row r="2630" spans="1:5" ht="30" customHeight="1">
      <c r="A2630" s="6">
        <v>2628</v>
      </c>
      <c r="B2630" s="6" t="s">
        <v>699</v>
      </c>
      <c r="C2630" s="6" t="s">
        <v>555</v>
      </c>
      <c r="D2630" s="6" t="s">
        <v>700</v>
      </c>
      <c r="E2630" s="6" t="s">
        <v>32</v>
      </c>
    </row>
    <row r="2631" spans="1:5" ht="30" customHeight="1">
      <c r="A2631" s="6">
        <v>2629</v>
      </c>
      <c r="B2631" s="6" t="s">
        <v>701</v>
      </c>
      <c r="C2631" s="6" t="s">
        <v>555</v>
      </c>
      <c r="D2631" s="6" t="s">
        <v>702</v>
      </c>
      <c r="E2631" s="6" t="s">
        <v>32</v>
      </c>
    </row>
    <row r="2632" spans="1:5" ht="30" customHeight="1">
      <c r="A2632" s="6">
        <v>2630</v>
      </c>
      <c r="B2632" s="6" t="s">
        <v>703</v>
      </c>
      <c r="C2632" s="6" t="s">
        <v>555</v>
      </c>
      <c r="D2632" s="6" t="s">
        <v>704</v>
      </c>
      <c r="E2632" s="6" t="s">
        <v>32</v>
      </c>
    </row>
    <row r="2633" spans="1:5" ht="30" customHeight="1">
      <c r="A2633" s="6">
        <v>2631</v>
      </c>
      <c r="B2633" s="6" t="s">
        <v>705</v>
      </c>
      <c r="C2633" s="6" t="s">
        <v>555</v>
      </c>
      <c r="D2633" s="6" t="s">
        <v>706</v>
      </c>
      <c r="E2633" s="6" t="s">
        <v>15</v>
      </c>
    </row>
    <row r="2634" spans="1:5" ht="30" customHeight="1">
      <c r="A2634" s="6">
        <v>2632</v>
      </c>
      <c r="B2634" s="6" t="s">
        <v>707</v>
      </c>
      <c r="C2634" s="6" t="s">
        <v>555</v>
      </c>
      <c r="D2634" s="6" t="s">
        <v>708</v>
      </c>
      <c r="E2634" s="6" t="s">
        <v>32</v>
      </c>
    </row>
    <row r="2635" spans="1:5" ht="30" customHeight="1">
      <c r="A2635" s="6">
        <v>2633</v>
      </c>
      <c r="B2635" s="6" t="s">
        <v>709</v>
      </c>
      <c r="C2635" s="6" t="s">
        <v>555</v>
      </c>
      <c r="D2635" s="6" t="s">
        <v>710</v>
      </c>
      <c r="E2635" s="6" t="s">
        <v>32</v>
      </c>
    </row>
    <row r="2636" spans="1:5" ht="30" customHeight="1">
      <c r="A2636" s="6">
        <v>2634</v>
      </c>
      <c r="B2636" s="6" t="s">
        <v>711</v>
      </c>
      <c r="C2636" s="6" t="s">
        <v>555</v>
      </c>
      <c r="D2636" s="6" t="s">
        <v>712</v>
      </c>
      <c r="E2636" s="6" t="s">
        <v>32</v>
      </c>
    </row>
    <row r="2637" spans="1:5" ht="30" customHeight="1">
      <c r="A2637" s="6">
        <v>2635</v>
      </c>
      <c r="B2637" s="6" t="s">
        <v>713</v>
      </c>
      <c r="C2637" s="6" t="s">
        <v>555</v>
      </c>
      <c r="D2637" s="6" t="s">
        <v>714</v>
      </c>
      <c r="E2637" s="6" t="s">
        <v>32</v>
      </c>
    </row>
    <row r="2638" spans="1:5" ht="30" customHeight="1">
      <c r="A2638" s="6">
        <v>2636</v>
      </c>
      <c r="B2638" s="6" t="s">
        <v>715</v>
      </c>
      <c r="C2638" s="6" t="s">
        <v>555</v>
      </c>
      <c r="D2638" s="6" t="s">
        <v>716</v>
      </c>
      <c r="E2638" s="6" t="s">
        <v>32</v>
      </c>
    </row>
    <row r="2639" spans="1:5" ht="30" customHeight="1">
      <c r="A2639" s="6">
        <v>2637</v>
      </c>
      <c r="B2639" s="6" t="s">
        <v>717</v>
      </c>
      <c r="C2639" s="6" t="s">
        <v>555</v>
      </c>
      <c r="D2639" s="6" t="s">
        <v>718</v>
      </c>
      <c r="E2639" s="6" t="s">
        <v>32</v>
      </c>
    </row>
    <row r="2640" spans="1:5" ht="30" customHeight="1">
      <c r="A2640" s="6">
        <v>2638</v>
      </c>
      <c r="B2640" s="6" t="s">
        <v>719</v>
      </c>
      <c r="C2640" s="6" t="s">
        <v>555</v>
      </c>
      <c r="D2640" s="6" t="s">
        <v>720</v>
      </c>
      <c r="E2640" s="6" t="s">
        <v>32</v>
      </c>
    </row>
    <row r="2641" spans="1:5" ht="30" customHeight="1">
      <c r="A2641" s="6">
        <v>2639</v>
      </c>
      <c r="B2641" s="6" t="s">
        <v>721</v>
      </c>
      <c r="C2641" s="6" t="s">
        <v>555</v>
      </c>
      <c r="D2641" s="6" t="s">
        <v>722</v>
      </c>
      <c r="E2641" s="6" t="s">
        <v>32</v>
      </c>
    </row>
    <row r="2642" spans="1:5" ht="30" customHeight="1">
      <c r="A2642" s="6">
        <v>2640</v>
      </c>
      <c r="B2642" s="6" t="s">
        <v>723</v>
      </c>
      <c r="C2642" s="6" t="s">
        <v>555</v>
      </c>
      <c r="D2642" s="6" t="s">
        <v>724</v>
      </c>
      <c r="E2642" s="6" t="s">
        <v>32</v>
      </c>
    </row>
    <row r="2643" spans="1:5" ht="30" customHeight="1">
      <c r="A2643" s="6">
        <v>2641</v>
      </c>
      <c r="B2643" s="6" t="s">
        <v>725</v>
      </c>
      <c r="C2643" s="6" t="s">
        <v>555</v>
      </c>
      <c r="D2643" s="6" t="s">
        <v>726</v>
      </c>
      <c r="E2643" s="6" t="s">
        <v>32</v>
      </c>
    </row>
    <row r="2644" spans="1:5" ht="30" customHeight="1">
      <c r="A2644" s="6">
        <v>2642</v>
      </c>
      <c r="B2644" s="6" t="s">
        <v>727</v>
      </c>
      <c r="C2644" s="6" t="s">
        <v>555</v>
      </c>
      <c r="D2644" s="6" t="s">
        <v>728</v>
      </c>
      <c r="E2644" s="6" t="s">
        <v>32</v>
      </c>
    </row>
    <row r="2645" spans="1:5" ht="30" customHeight="1">
      <c r="A2645" s="6">
        <v>2643</v>
      </c>
      <c r="B2645" s="6" t="s">
        <v>729</v>
      </c>
      <c r="C2645" s="6" t="s">
        <v>555</v>
      </c>
      <c r="D2645" s="6" t="s">
        <v>730</v>
      </c>
      <c r="E2645" s="6" t="s">
        <v>32</v>
      </c>
    </row>
    <row r="2646" spans="1:5" ht="30" customHeight="1">
      <c r="A2646" s="6">
        <v>2644</v>
      </c>
      <c r="B2646" s="6" t="s">
        <v>731</v>
      </c>
      <c r="C2646" s="6" t="s">
        <v>555</v>
      </c>
      <c r="D2646" s="6" t="s">
        <v>732</v>
      </c>
      <c r="E2646" s="6" t="s">
        <v>32</v>
      </c>
    </row>
    <row r="2647" spans="1:5" ht="30" customHeight="1">
      <c r="A2647" s="6">
        <v>2645</v>
      </c>
      <c r="B2647" s="6" t="s">
        <v>733</v>
      </c>
      <c r="C2647" s="6" t="s">
        <v>555</v>
      </c>
      <c r="D2647" s="6" t="s">
        <v>734</v>
      </c>
      <c r="E2647" s="6" t="s">
        <v>32</v>
      </c>
    </row>
    <row r="2648" spans="1:5" ht="30" customHeight="1">
      <c r="A2648" s="6">
        <v>2646</v>
      </c>
      <c r="B2648" s="6" t="s">
        <v>735</v>
      </c>
      <c r="C2648" s="6" t="s">
        <v>555</v>
      </c>
      <c r="D2648" s="6" t="s">
        <v>736</v>
      </c>
      <c r="E2648" s="6" t="s">
        <v>32</v>
      </c>
    </row>
    <row r="2649" spans="1:5" ht="30" customHeight="1">
      <c r="A2649" s="6">
        <v>2647</v>
      </c>
      <c r="B2649" s="6" t="s">
        <v>737</v>
      </c>
      <c r="C2649" s="6" t="s">
        <v>555</v>
      </c>
      <c r="D2649" s="6" t="s">
        <v>738</v>
      </c>
      <c r="E2649" s="6" t="s">
        <v>32</v>
      </c>
    </row>
    <row r="2650" spans="1:5" ht="30" customHeight="1">
      <c r="A2650" s="6">
        <v>2648</v>
      </c>
      <c r="B2650" s="6" t="s">
        <v>739</v>
      </c>
      <c r="C2650" s="6" t="s">
        <v>555</v>
      </c>
      <c r="D2650" s="6" t="s">
        <v>740</v>
      </c>
      <c r="E2650" s="6" t="s">
        <v>32</v>
      </c>
    </row>
    <row r="2651" spans="1:5" ht="30" customHeight="1">
      <c r="A2651" s="6">
        <v>2649</v>
      </c>
      <c r="B2651" s="6" t="s">
        <v>741</v>
      </c>
      <c r="C2651" s="6" t="s">
        <v>555</v>
      </c>
      <c r="D2651" s="6" t="s">
        <v>742</v>
      </c>
      <c r="E2651" s="6" t="s">
        <v>32</v>
      </c>
    </row>
    <row r="2652" spans="1:5" ht="30" customHeight="1">
      <c r="A2652" s="6">
        <v>2650</v>
      </c>
      <c r="B2652" s="6" t="s">
        <v>743</v>
      </c>
      <c r="C2652" s="6" t="s">
        <v>555</v>
      </c>
      <c r="D2652" s="6" t="s">
        <v>744</v>
      </c>
      <c r="E2652" s="6" t="s">
        <v>32</v>
      </c>
    </row>
    <row r="2653" spans="1:5" ht="30" customHeight="1">
      <c r="A2653" s="6">
        <v>2651</v>
      </c>
      <c r="B2653" s="6" t="s">
        <v>745</v>
      </c>
      <c r="C2653" s="6" t="s">
        <v>555</v>
      </c>
      <c r="D2653" s="6" t="s">
        <v>746</v>
      </c>
      <c r="E2653" s="6" t="s">
        <v>32</v>
      </c>
    </row>
    <row r="2654" spans="1:5" ht="30" customHeight="1">
      <c r="A2654" s="6">
        <v>2652</v>
      </c>
      <c r="B2654" s="6" t="s">
        <v>747</v>
      </c>
      <c r="C2654" s="6" t="s">
        <v>555</v>
      </c>
      <c r="D2654" s="6" t="s">
        <v>748</v>
      </c>
      <c r="E2654" s="6" t="s">
        <v>32</v>
      </c>
    </row>
    <row r="2655" spans="1:5" ht="30" customHeight="1">
      <c r="A2655" s="6">
        <v>2653</v>
      </c>
      <c r="B2655" s="6" t="s">
        <v>749</v>
      </c>
      <c r="C2655" s="6" t="s">
        <v>555</v>
      </c>
      <c r="D2655" s="6" t="s">
        <v>750</v>
      </c>
      <c r="E2655" s="6" t="s">
        <v>32</v>
      </c>
    </row>
    <row r="2656" spans="1:5" ht="30" customHeight="1">
      <c r="A2656" s="6">
        <v>2654</v>
      </c>
      <c r="B2656" s="6" t="s">
        <v>751</v>
      </c>
      <c r="C2656" s="6" t="s">
        <v>555</v>
      </c>
      <c r="D2656" s="6" t="s">
        <v>752</v>
      </c>
      <c r="E2656" s="6" t="s">
        <v>32</v>
      </c>
    </row>
    <row r="2657" spans="1:5" ht="30" customHeight="1">
      <c r="A2657" s="6">
        <v>2655</v>
      </c>
      <c r="B2657" s="6" t="s">
        <v>753</v>
      </c>
      <c r="C2657" s="6" t="s">
        <v>555</v>
      </c>
      <c r="D2657" s="6" t="s">
        <v>754</v>
      </c>
      <c r="E2657" s="6" t="s">
        <v>32</v>
      </c>
    </row>
    <row r="2658" spans="1:5" ht="30" customHeight="1">
      <c r="A2658" s="6">
        <v>2656</v>
      </c>
      <c r="B2658" s="6" t="s">
        <v>755</v>
      </c>
      <c r="C2658" s="6" t="s">
        <v>555</v>
      </c>
      <c r="D2658" s="6" t="s">
        <v>756</v>
      </c>
      <c r="E2658" s="6" t="s">
        <v>32</v>
      </c>
    </row>
    <row r="2659" spans="1:5" ht="30" customHeight="1">
      <c r="A2659" s="6">
        <v>2657</v>
      </c>
      <c r="B2659" s="6" t="s">
        <v>757</v>
      </c>
      <c r="C2659" s="6" t="s">
        <v>555</v>
      </c>
      <c r="D2659" s="6" t="s">
        <v>758</v>
      </c>
      <c r="E2659" s="6" t="s">
        <v>32</v>
      </c>
    </row>
    <row r="2660" spans="1:5" ht="30" customHeight="1">
      <c r="A2660" s="6">
        <v>2658</v>
      </c>
      <c r="B2660" s="6" t="s">
        <v>759</v>
      </c>
      <c r="C2660" s="6" t="s">
        <v>555</v>
      </c>
      <c r="D2660" s="6" t="s">
        <v>760</v>
      </c>
      <c r="E2660" s="6" t="s">
        <v>32</v>
      </c>
    </row>
    <row r="2661" spans="1:5" ht="30" customHeight="1">
      <c r="A2661" s="6">
        <v>2659</v>
      </c>
      <c r="B2661" s="6" t="s">
        <v>761</v>
      </c>
      <c r="C2661" s="6" t="s">
        <v>555</v>
      </c>
      <c r="D2661" s="6" t="s">
        <v>762</v>
      </c>
      <c r="E2661" s="6" t="s">
        <v>32</v>
      </c>
    </row>
    <row r="2662" spans="1:5" ht="30" customHeight="1">
      <c r="A2662" s="6">
        <v>2660</v>
      </c>
      <c r="B2662" s="6" t="s">
        <v>763</v>
      </c>
      <c r="C2662" s="6" t="s">
        <v>555</v>
      </c>
      <c r="D2662" s="6" t="s">
        <v>764</v>
      </c>
      <c r="E2662" s="6" t="s">
        <v>32</v>
      </c>
    </row>
    <row r="2663" spans="1:5" ht="30" customHeight="1">
      <c r="A2663" s="6">
        <v>2661</v>
      </c>
      <c r="B2663" s="6" t="s">
        <v>765</v>
      </c>
      <c r="C2663" s="6" t="s">
        <v>555</v>
      </c>
      <c r="D2663" s="6" t="s">
        <v>766</v>
      </c>
      <c r="E2663" s="6" t="s">
        <v>32</v>
      </c>
    </row>
    <row r="2664" spans="1:5" ht="30" customHeight="1">
      <c r="A2664" s="6">
        <v>2662</v>
      </c>
      <c r="B2664" s="6" t="s">
        <v>767</v>
      </c>
      <c r="C2664" s="6" t="s">
        <v>555</v>
      </c>
      <c r="D2664" s="6" t="s">
        <v>768</v>
      </c>
      <c r="E2664" s="6" t="s">
        <v>32</v>
      </c>
    </row>
    <row r="2665" spans="1:5" ht="30" customHeight="1">
      <c r="A2665" s="6">
        <v>2663</v>
      </c>
      <c r="B2665" s="6" t="s">
        <v>769</v>
      </c>
      <c r="C2665" s="6" t="s">
        <v>555</v>
      </c>
      <c r="D2665" s="6" t="s">
        <v>770</v>
      </c>
      <c r="E2665" s="6" t="s">
        <v>32</v>
      </c>
    </row>
    <row r="2666" spans="1:5" ht="30" customHeight="1">
      <c r="A2666" s="6">
        <v>2664</v>
      </c>
      <c r="B2666" s="6" t="s">
        <v>771</v>
      </c>
      <c r="C2666" s="6" t="s">
        <v>555</v>
      </c>
      <c r="D2666" s="6" t="s">
        <v>772</v>
      </c>
      <c r="E2666" s="6" t="s">
        <v>32</v>
      </c>
    </row>
    <row r="2667" spans="1:5" ht="30" customHeight="1">
      <c r="A2667" s="6">
        <v>2665</v>
      </c>
      <c r="B2667" s="6" t="s">
        <v>773</v>
      </c>
      <c r="C2667" s="6" t="s">
        <v>555</v>
      </c>
      <c r="D2667" s="6" t="s">
        <v>774</v>
      </c>
      <c r="E2667" s="6" t="s">
        <v>32</v>
      </c>
    </row>
    <row r="2668" spans="1:5" ht="30" customHeight="1">
      <c r="A2668" s="6">
        <v>2666</v>
      </c>
      <c r="B2668" s="6" t="s">
        <v>775</v>
      </c>
      <c r="C2668" s="6" t="s">
        <v>555</v>
      </c>
      <c r="D2668" s="6" t="s">
        <v>776</v>
      </c>
      <c r="E2668" s="6" t="s">
        <v>32</v>
      </c>
    </row>
    <row r="2669" spans="1:5" ht="30" customHeight="1">
      <c r="A2669" s="6">
        <v>2667</v>
      </c>
      <c r="B2669" s="6" t="s">
        <v>777</v>
      </c>
      <c r="C2669" s="6" t="s">
        <v>555</v>
      </c>
      <c r="D2669" s="6" t="s">
        <v>778</v>
      </c>
      <c r="E2669" s="6" t="s">
        <v>32</v>
      </c>
    </row>
    <row r="2670" spans="1:5" ht="30" customHeight="1">
      <c r="A2670" s="6">
        <v>2668</v>
      </c>
      <c r="B2670" s="6" t="s">
        <v>779</v>
      </c>
      <c r="C2670" s="6" t="s">
        <v>555</v>
      </c>
      <c r="D2670" s="6" t="s">
        <v>780</v>
      </c>
      <c r="E2670" s="6" t="s">
        <v>32</v>
      </c>
    </row>
    <row r="2671" spans="1:5" ht="30" customHeight="1">
      <c r="A2671" s="6">
        <v>2669</v>
      </c>
      <c r="B2671" s="6" t="s">
        <v>781</v>
      </c>
      <c r="C2671" s="6" t="s">
        <v>555</v>
      </c>
      <c r="D2671" s="6" t="s">
        <v>782</v>
      </c>
      <c r="E2671" s="6" t="s">
        <v>32</v>
      </c>
    </row>
    <row r="2672" spans="1:5" ht="30" customHeight="1">
      <c r="A2672" s="6">
        <v>2670</v>
      </c>
      <c r="B2672" s="6" t="s">
        <v>783</v>
      </c>
      <c r="C2672" s="6" t="s">
        <v>555</v>
      </c>
      <c r="D2672" s="6" t="s">
        <v>784</v>
      </c>
      <c r="E2672" s="6" t="s">
        <v>32</v>
      </c>
    </row>
    <row r="2673" spans="1:5" ht="30" customHeight="1">
      <c r="A2673" s="6">
        <v>2671</v>
      </c>
      <c r="B2673" s="6" t="s">
        <v>785</v>
      </c>
      <c r="C2673" s="6" t="s">
        <v>555</v>
      </c>
      <c r="D2673" s="6" t="s">
        <v>786</v>
      </c>
      <c r="E2673" s="6" t="s">
        <v>32</v>
      </c>
    </row>
    <row r="2674" spans="1:5" ht="30" customHeight="1">
      <c r="A2674" s="6">
        <v>2672</v>
      </c>
      <c r="B2674" s="6" t="s">
        <v>787</v>
      </c>
      <c r="C2674" s="6" t="s">
        <v>555</v>
      </c>
      <c r="D2674" s="6" t="s">
        <v>268</v>
      </c>
      <c r="E2674" s="6" t="s">
        <v>32</v>
      </c>
    </row>
    <row r="2675" spans="1:5" ht="30" customHeight="1">
      <c r="A2675" s="6">
        <v>2673</v>
      </c>
      <c r="B2675" s="6" t="s">
        <v>788</v>
      </c>
      <c r="C2675" s="6" t="s">
        <v>555</v>
      </c>
      <c r="D2675" s="6" t="s">
        <v>789</v>
      </c>
      <c r="E2675" s="6" t="s">
        <v>32</v>
      </c>
    </row>
    <row r="2676" spans="1:5" ht="30" customHeight="1">
      <c r="A2676" s="6">
        <v>2674</v>
      </c>
      <c r="B2676" s="6" t="s">
        <v>790</v>
      </c>
      <c r="C2676" s="6" t="s">
        <v>555</v>
      </c>
      <c r="D2676" s="6" t="s">
        <v>791</v>
      </c>
      <c r="E2676" s="6" t="s">
        <v>32</v>
      </c>
    </row>
    <row r="2677" spans="1:5" ht="30" customHeight="1">
      <c r="A2677" s="6">
        <v>2675</v>
      </c>
      <c r="B2677" s="6" t="s">
        <v>792</v>
      </c>
      <c r="C2677" s="6" t="s">
        <v>555</v>
      </c>
      <c r="D2677" s="6" t="s">
        <v>793</v>
      </c>
      <c r="E2677" s="6" t="s">
        <v>32</v>
      </c>
    </row>
    <row r="2678" spans="1:5" ht="30" customHeight="1">
      <c r="A2678" s="6">
        <v>2676</v>
      </c>
      <c r="B2678" s="6" t="s">
        <v>794</v>
      </c>
      <c r="C2678" s="6" t="s">
        <v>555</v>
      </c>
      <c r="D2678" s="6" t="s">
        <v>795</v>
      </c>
      <c r="E2678" s="6" t="s">
        <v>32</v>
      </c>
    </row>
    <row r="2679" spans="1:5" ht="30" customHeight="1">
      <c r="A2679" s="6">
        <v>2677</v>
      </c>
      <c r="B2679" s="6" t="s">
        <v>796</v>
      </c>
      <c r="C2679" s="6" t="s">
        <v>555</v>
      </c>
      <c r="D2679" s="6" t="s">
        <v>797</v>
      </c>
      <c r="E2679" s="6" t="s">
        <v>32</v>
      </c>
    </row>
    <row r="2680" spans="1:5" ht="30" customHeight="1">
      <c r="A2680" s="6">
        <v>2678</v>
      </c>
      <c r="B2680" s="6" t="s">
        <v>798</v>
      </c>
      <c r="C2680" s="6" t="s">
        <v>555</v>
      </c>
      <c r="D2680" s="6" t="s">
        <v>799</v>
      </c>
      <c r="E2680" s="6" t="s">
        <v>32</v>
      </c>
    </row>
    <row r="2681" spans="1:5" ht="30" customHeight="1">
      <c r="A2681" s="6">
        <v>2679</v>
      </c>
      <c r="B2681" s="6" t="s">
        <v>800</v>
      </c>
      <c r="C2681" s="6" t="s">
        <v>555</v>
      </c>
      <c r="D2681" s="6" t="s">
        <v>801</v>
      </c>
      <c r="E2681" s="6" t="s">
        <v>32</v>
      </c>
    </row>
    <row r="2682" spans="1:5" ht="30" customHeight="1">
      <c r="A2682" s="6">
        <v>2680</v>
      </c>
      <c r="B2682" s="6" t="s">
        <v>802</v>
      </c>
      <c r="C2682" s="6" t="s">
        <v>555</v>
      </c>
      <c r="D2682" s="6" t="s">
        <v>803</v>
      </c>
      <c r="E2682" s="6" t="s">
        <v>32</v>
      </c>
    </row>
    <row r="2683" spans="1:5" ht="30" customHeight="1">
      <c r="A2683" s="6">
        <v>2681</v>
      </c>
      <c r="B2683" s="6" t="s">
        <v>804</v>
      </c>
      <c r="C2683" s="6" t="s">
        <v>555</v>
      </c>
      <c r="D2683" s="6" t="s">
        <v>805</v>
      </c>
      <c r="E2683" s="6" t="s">
        <v>32</v>
      </c>
    </row>
    <row r="2684" spans="1:5" ht="30" customHeight="1">
      <c r="A2684" s="6">
        <v>2682</v>
      </c>
      <c r="B2684" s="6" t="s">
        <v>806</v>
      </c>
      <c r="C2684" s="6" t="s">
        <v>555</v>
      </c>
      <c r="D2684" s="6" t="s">
        <v>807</v>
      </c>
      <c r="E2684" s="6" t="s">
        <v>32</v>
      </c>
    </row>
    <row r="2685" spans="1:5" ht="30" customHeight="1">
      <c r="A2685" s="6">
        <v>2683</v>
      </c>
      <c r="B2685" s="6" t="s">
        <v>808</v>
      </c>
      <c r="C2685" s="6" t="s">
        <v>555</v>
      </c>
      <c r="D2685" s="6" t="s">
        <v>809</v>
      </c>
      <c r="E2685" s="6" t="s">
        <v>32</v>
      </c>
    </row>
    <row r="2686" spans="1:5" ht="30" customHeight="1">
      <c r="A2686" s="6">
        <v>2684</v>
      </c>
      <c r="B2686" s="6" t="s">
        <v>810</v>
      </c>
      <c r="C2686" s="6" t="s">
        <v>555</v>
      </c>
      <c r="D2686" s="6" t="s">
        <v>811</v>
      </c>
      <c r="E2686" s="6" t="s">
        <v>32</v>
      </c>
    </row>
    <row r="2687" spans="1:5" ht="30" customHeight="1">
      <c r="A2687" s="6">
        <v>2685</v>
      </c>
      <c r="B2687" s="6" t="s">
        <v>812</v>
      </c>
      <c r="C2687" s="6" t="s">
        <v>555</v>
      </c>
      <c r="D2687" s="6" t="s">
        <v>813</v>
      </c>
      <c r="E2687" s="6" t="s">
        <v>32</v>
      </c>
    </row>
    <row r="2688" spans="1:5" ht="30" customHeight="1">
      <c r="A2688" s="6">
        <v>2686</v>
      </c>
      <c r="B2688" s="6" t="s">
        <v>814</v>
      </c>
      <c r="C2688" s="6" t="s">
        <v>555</v>
      </c>
      <c r="D2688" s="6" t="s">
        <v>815</v>
      </c>
      <c r="E2688" s="6" t="s">
        <v>32</v>
      </c>
    </row>
    <row r="2689" spans="1:5" ht="30" customHeight="1">
      <c r="A2689" s="6">
        <v>2687</v>
      </c>
      <c r="B2689" s="6" t="s">
        <v>816</v>
      </c>
      <c r="C2689" s="6" t="s">
        <v>555</v>
      </c>
      <c r="D2689" s="6" t="s">
        <v>817</v>
      </c>
      <c r="E2689" s="6" t="s">
        <v>32</v>
      </c>
    </row>
    <row r="2690" spans="1:5" ht="30" customHeight="1">
      <c r="A2690" s="6">
        <v>2688</v>
      </c>
      <c r="B2690" s="6" t="s">
        <v>818</v>
      </c>
      <c r="C2690" s="6" t="s">
        <v>555</v>
      </c>
      <c r="D2690" s="6" t="s">
        <v>819</v>
      </c>
      <c r="E2690" s="6" t="s">
        <v>32</v>
      </c>
    </row>
    <row r="2691" spans="1:5" ht="30" customHeight="1">
      <c r="A2691" s="6">
        <v>2689</v>
      </c>
      <c r="B2691" s="6" t="s">
        <v>820</v>
      </c>
      <c r="C2691" s="6" t="s">
        <v>555</v>
      </c>
      <c r="D2691" s="6" t="s">
        <v>821</v>
      </c>
      <c r="E2691" s="6" t="s">
        <v>32</v>
      </c>
    </row>
    <row r="2692" spans="1:5" ht="30" customHeight="1">
      <c r="A2692" s="6">
        <v>2690</v>
      </c>
      <c r="B2692" s="6" t="s">
        <v>822</v>
      </c>
      <c r="C2692" s="6" t="s">
        <v>555</v>
      </c>
      <c r="D2692" s="6" t="s">
        <v>823</v>
      </c>
      <c r="E2692" s="6" t="s">
        <v>32</v>
      </c>
    </row>
    <row r="2693" spans="1:5" ht="30" customHeight="1">
      <c r="A2693" s="6">
        <v>2691</v>
      </c>
      <c r="B2693" s="6" t="s">
        <v>824</v>
      </c>
      <c r="C2693" s="6" t="s">
        <v>555</v>
      </c>
      <c r="D2693" s="6" t="s">
        <v>825</v>
      </c>
      <c r="E2693" s="6" t="s">
        <v>32</v>
      </c>
    </row>
    <row r="2694" spans="1:5" ht="30" customHeight="1">
      <c r="A2694" s="6">
        <v>2692</v>
      </c>
      <c r="B2694" s="6" t="s">
        <v>826</v>
      </c>
      <c r="C2694" s="6" t="s">
        <v>555</v>
      </c>
      <c r="D2694" s="6" t="s">
        <v>827</v>
      </c>
      <c r="E2694" s="6" t="s">
        <v>32</v>
      </c>
    </row>
    <row r="2695" spans="1:5" ht="30" customHeight="1">
      <c r="A2695" s="6">
        <v>2693</v>
      </c>
      <c r="B2695" s="6" t="s">
        <v>828</v>
      </c>
      <c r="C2695" s="6" t="s">
        <v>555</v>
      </c>
      <c r="D2695" s="6" t="s">
        <v>829</v>
      </c>
      <c r="E2695" s="6" t="s">
        <v>32</v>
      </c>
    </row>
    <row r="2696" spans="1:5" ht="30" customHeight="1">
      <c r="A2696" s="6">
        <v>2694</v>
      </c>
      <c r="B2696" s="6" t="s">
        <v>830</v>
      </c>
      <c r="C2696" s="6" t="s">
        <v>555</v>
      </c>
      <c r="D2696" s="6" t="s">
        <v>831</v>
      </c>
      <c r="E2696" s="6" t="s">
        <v>32</v>
      </c>
    </row>
    <row r="2697" spans="1:5" ht="30" customHeight="1">
      <c r="A2697" s="6">
        <v>2695</v>
      </c>
      <c r="B2697" s="6" t="s">
        <v>832</v>
      </c>
      <c r="C2697" s="6" t="s">
        <v>555</v>
      </c>
      <c r="D2697" s="6" t="s">
        <v>833</v>
      </c>
      <c r="E2697" s="6" t="s">
        <v>32</v>
      </c>
    </row>
    <row r="2698" spans="1:5" ht="30" customHeight="1">
      <c r="A2698" s="6">
        <v>2696</v>
      </c>
      <c r="B2698" s="6" t="s">
        <v>834</v>
      </c>
      <c r="C2698" s="6" t="s">
        <v>555</v>
      </c>
      <c r="D2698" s="6" t="s">
        <v>835</v>
      </c>
      <c r="E2698" s="6" t="s">
        <v>32</v>
      </c>
    </row>
    <row r="2699" spans="1:5" ht="30" customHeight="1">
      <c r="A2699" s="6">
        <v>2697</v>
      </c>
      <c r="B2699" s="6" t="s">
        <v>836</v>
      </c>
      <c r="C2699" s="6" t="s">
        <v>555</v>
      </c>
      <c r="D2699" s="6" t="s">
        <v>837</v>
      </c>
      <c r="E2699" s="6" t="s">
        <v>32</v>
      </c>
    </row>
    <row r="2700" spans="1:5" ht="30" customHeight="1">
      <c r="A2700" s="6">
        <v>2698</v>
      </c>
      <c r="B2700" s="6" t="s">
        <v>838</v>
      </c>
      <c r="C2700" s="6" t="s">
        <v>555</v>
      </c>
      <c r="D2700" s="6" t="s">
        <v>839</v>
      </c>
      <c r="E2700" s="6" t="s">
        <v>32</v>
      </c>
    </row>
    <row r="2701" spans="1:5" ht="30" customHeight="1">
      <c r="A2701" s="6">
        <v>2699</v>
      </c>
      <c r="B2701" s="6" t="s">
        <v>840</v>
      </c>
      <c r="C2701" s="6" t="s">
        <v>555</v>
      </c>
      <c r="D2701" s="6" t="s">
        <v>841</v>
      </c>
      <c r="E2701" s="6" t="s">
        <v>32</v>
      </c>
    </row>
    <row r="2702" spans="1:5" ht="30" customHeight="1">
      <c r="A2702" s="6">
        <v>2700</v>
      </c>
      <c r="B2702" s="6" t="s">
        <v>842</v>
      </c>
      <c r="C2702" s="6" t="s">
        <v>555</v>
      </c>
      <c r="D2702" s="6" t="s">
        <v>843</v>
      </c>
      <c r="E2702" s="6" t="s">
        <v>32</v>
      </c>
    </row>
    <row r="2703" spans="1:5" ht="30" customHeight="1">
      <c r="A2703" s="6">
        <v>2701</v>
      </c>
      <c r="B2703" s="6" t="s">
        <v>844</v>
      </c>
      <c r="C2703" s="6" t="s">
        <v>555</v>
      </c>
      <c r="D2703" s="6" t="s">
        <v>845</v>
      </c>
      <c r="E2703" s="6" t="s">
        <v>15</v>
      </c>
    </row>
    <row r="2704" spans="1:5" ht="30" customHeight="1">
      <c r="A2704" s="6">
        <v>2702</v>
      </c>
      <c r="B2704" s="6" t="s">
        <v>846</v>
      </c>
      <c r="C2704" s="6" t="s">
        <v>555</v>
      </c>
      <c r="D2704" s="6" t="s">
        <v>847</v>
      </c>
      <c r="E2704" s="6" t="s">
        <v>32</v>
      </c>
    </row>
    <row r="2705" spans="1:5" ht="30" customHeight="1">
      <c r="A2705" s="6">
        <v>2703</v>
      </c>
      <c r="B2705" s="6" t="s">
        <v>848</v>
      </c>
      <c r="C2705" s="6" t="s">
        <v>555</v>
      </c>
      <c r="D2705" s="6" t="s">
        <v>849</v>
      </c>
      <c r="E2705" s="6" t="s">
        <v>32</v>
      </c>
    </row>
    <row r="2706" spans="1:5" ht="30" customHeight="1">
      <c r="A2706" s="6">
        <v>2704</v>
      </c>
      <c r="B2706" s="6" t="s">
        <v>850</v>
      </c>
      <c r="C2706" s="6" t="s">
        <v>555</v>
      </c>
      <c r="D2706" s="6" t="s">
        <v>851</v>
      </c>
      <c r="E2706" s="6" t="s">
        <v>32</v>
      </c>
    </row>
    <row r="2707" spans="1:5" ht="30" customHeight="1">
      <c r="A2707" s="6">
        <v>2705</v>
      </c>
      <c r="B2707" s="6" t="s">
        <v>852</v>
      </c>
      <c r="C2707" s="6" t="s">
        <v>555</v>
      </c>
      <c r="D2707" s="6" t="s">
        <v>853</v>
      </c>
      <c r="E2707" s="6" t="s">
        <v>32</v>
      </c>
    </row>
    <row r="2708" spans="1:5" ht="30" customHeight="1">
      <c r="A2708" s="6">
        <v>2706</v>
      </c>
      <c r="B2708" s="6" t="s">
        <v>854</v>
      </c>
      <c r="C2708" s="6" t="s">
        <v>555</v>
      </c>
      <c r="D2708" s="6" t="s">
        <v>855</v>
      </c>
      <c r="E2708" s="6" t="s">
        <v>32</v>
      </c>
    </row>
    <row r="2709" spans="1:5" ht="30" customHeight="1">
      <c r="A2709" s="6">
        <v>2707</v>
      </c>
      <c r="B2709" s="6" t="s">
        <v>856</v>
      </c>
      <c r="C2709" s="6" t="s">
        <v>555</v>
      </c>
      <c r="D2709" s="6" t="s">
        <v>857</v>
      </c>
      <c r="E2709" s="6" t="s">
        <v>32</v>
      </c>
    </row>
    <row r="2710" spans="1:5" ht="30" customHeight="1">
      <c r="A2710" s="6">
        <v>2708</v>
      </c>
      <c r="B2710" s="6" t="s">
        <v>858</v>
      </c>
      <c r="C2710" s="6" t="s">
        <v>555</v>
      </c>
      <c r="D2710" s="6" t="s">
        <v>859</v>
      </c>
      <c r="E2710" s="6" t="s">
        <v>32</v>
      </c>
    </row>
    <row r="2711" spans="1:5" ht="30" customHeight="1">
      <c r="A2711" s="6">
        <v>2709</v>
      </c>
      <c r="B2711" s="6" t="s">
        <v>860</v>
      </c>
      <c r="C2711" s="6" t="s">
        <v>555</v>
      </c>
      <c r="D2711" s="6" t="s">
        <v>861</v>
      </c>
      <c r="E2711" s="6" t="s">
        <v>32</v>
      </c>
    </row>
    <row r="2712" spans="1:5" ht="30" customHeight="1">
      <c r="A2712" s="6">
        <v>2710</v>
      </c>
      <c r="B2712" s="6" t="s">
        <v>862</v>
      </c>
      <c r="C2712" s="6" t="s">
        <v>555</v>
      </c>
      <c r="D2712" s="6" t="s">
        <v>863</v>
      </c>
      <c r="E2712" s="6" t="s">
        <v>32</v>
      </c>
    </row>
    <row r="2713" spans="1:5" ht="30" customHeight="1">
      <c r="A2713" s="6">
        <v>2711</v>
      </c>
      <c r="B2713" s="6" t="s">
        <v>864</v>
      </c>
      <c r="C2713" s="6" t="s">
        <v>555</v>
      </c>
      <c r="D2713" s="6" t="s">
        <v>865</v>
      </c>
      <c r="E2713" s="6" t="s">
        <v>32</v>
      </c>
    </row>
    <row r="2714" spans="1:5" ht="30" customHeight="1">
      <c r="A2714" s="6">
        <v>2712</v>
      </c>
      <c r="B2714" s="6" t="s">
        <v>866</v>
      </c>
      <c r="C2714" s="6" t="s">
        <v>555</v>
      </c>
      <c r="D2714" s="6" t="s">
        <v>867</v>
      </c>
      <c r="E2714" s="6" t="s">
        <v>32</v>
      </c>
    </row>
    <row r="2715" spans="1:5" ht="30" customHeight="1">
      <c r="A2715" s="6">
        <v>2713</v>
      </c>
      <c r="B2715" s="6" t="s">
        <v>868</v>
      </c>
      <c r="C2715" s="6" t="s">
        <v>555</v>
      </c>
      <c r="D2715" s="6" t="s">
        <v>869</v>
      </c>
      <c r="E2715" s="6" t="s">
        <v>32</v>
      </c>
    </row>
    <row r="2716" spans="1:5" ht="30" customHeight="1">
      <c r="A2716" s="6">
        <v>2714</v>
      </c>
      <c r="B2716" s="6" t="s">
        <v>870</v>
      </c>
      <c r="C2716" s="6" t="s">
        <v>555</v>
      </c>
      <c r="D2716" s="6" t="s">
        <v>871</v>
      </c>
      <c r="E2716" s="6" t="s">
        <v>32</v>
      </c>
    </row>
    <row r="2717" spans="1:5" ht="30" customHeight="1">
      <c r="A2717" s="6">
        <v>2715</v>
      </c>
      <c r="B2717" s="6" t="s">
        <v>872</v>
      </c>
      <c r="C2717" s="6" t="s">
        <v>555</v>
      </c>
      <c r="D2717" s="6" t="s">
        <v>873</v>
      </c>
      <c r="E2717" s="6" t="s">
        <v>32</v>
      </c>
    </row>
    <row r="2718" spans="1:5" ht="30" customHeight="1">
      <c r="A2718" s="6">
        <v>2716</v>
      </c>
      <c r="B2718" s="6" t="s">
        <v>874</v>
      </c>
      <c r="C2718" s="6" t="s">
        <v>555</v>
      </c>
      <c r="D2718" s="6" t="s">
        <v>875</v>
      </c>
      <c r="E2718" s="6" t="s">
        <v>32</v>
      </c>
    </row>
    <row r="2719" spans="1:5" ht="30" customHeight="1">
      <c r="A2719" s="6">
        <v>2717</v>
      </c>
      <c r="B2719" s="6" t="s">
        <v>876</v>
      </c>
      <c r="C2719" s="6" t="s">
        <v>555</v>
      </c>
      <c r="D2719" s="6" t="s">
        <v>877</v>
      </c>
      <c r="E2719" s="6" t="s">
        <v>32</v>
      </c>
    </row>
    <row r="2720" spans="1:5" ht="30" customHeight="1">
      <c r="A2720" s="6">
        <v>2718</v>
      </c>
      <c r="B2720" s="6" t="s">
        <v>878</v>
      </c>
      <c r="C2720" s="6" t="s">
        <v>555</v>
      </c>
      <c r="D2720" s="6" t="s">
        <v>879</v>
      </c>
      <c r="E2720" s="6" t="s">
        <v>32</v>
      </c>
    </row>
    <row r="2721" spans="1:5" ht="30" customHeight="1">
      <c r="A2721" s="6">
        <v>2719</v>
      </c>
      <c r="B2721" s="6" t="s">
        <v>880</v>
      </c>
      <c r="C2721" s="6" t="s">
        <v>555</v>
      </c>
      <c r="D2721" s="6" t="s">
        <v>881</v>
      </c>
      <c r="E2721" s="6" t="s">
        <v>32</v>
      </c>
    </row>
    <row r="2722" spans="1:5" ht="30" customHeight="1">
      <c r="A2722" s="6">
        <v>2720</v>
      </c>
      <c r="B2722" s="6" t="s">
        <v>882</v>
      </c>
      <c r="C2722" s="6" t="s">
        <v>555</v>
      </c>
      <c r="D2722" s="6" t="s">
        <v>883</v>
      </c>
      <c r="E2722" s="6" t="s">
        <v>32</v>
      </c>
    </row>
    <row r="2723" spans="1:5" ht="30" customHeight="1">
      <c r="A2723" s="6">
        <v>2721</v>
      </c>
      <c r="B2723" s="6" t="s">
        <v>884</v>
      </c>
      <c r="C2723" s="6" t="s">
        <v>555</v>
      </c>
      <c r="D2723" s="6" t="s">
        <v>885</v>
      </c>
      <c r="E2723" s="6" t="s">
        <v>32</v>
      </c>
    </row>
    <row r="2724" spans="1:5" ht="30" customHeight="1">
      <c r="A2724" s="6">
        <v>2722</v>
      </c>
      <c r="B2724" s="6" t="s">
        <v>886</v>
      </c>
      <c r="C2724" s="6" t="s">
        <v>555</v>
      </c>
      <c r="D2724" s="6" t="s">
        <v>887</v>
      </c>
      <c r="E2724" s="6" t="s">
        <v>32</v>
      </c>
    </row>
    <row r="2725" spans="1:5" ht="30" customHeight="1">
      <c r="A2725" s="6">
        <v>2723</v>
      </c>
      <c r="B2725" s="6" t="s">
        <v>888</v>
      </c>
      <c r="C2725" s="6" t="s">
        <v>555</v>
      </c>
      <c r="D2725" s="6" t="s">
        <v>889</v>
      </c>
      <c r="E2725" s="6" t="s">
        <v>32</v>
      </c>
    </row>
    <row r="2726" spans="1:5" ht="30" customHeight="1">
      <c r="A2726" s="6">
        <v>2724</v>
      </c>
      <c r="B2726" s="6" t="s">
        <v>890</v>
      </c>
      <c r="C2726" s="6" t="s">
        <v>555</v>
      </c>
      <c r="D2726" s="6" t="s">
        <v>891</v>
      </c>
      <c r="E2726" s="6" t="s">
        <v>32</v>
      </c>
    </row>
    <row r="2727" spans="1:5" ht="30" customHeight="1">
      <c r="A2727" s="6">
        <v>2725</v>
      </c>
      <c r="B2727" s="6" t="s">
        <v>892</v>
      </c>
      <c r="C2727" s="6" t="s">
        <v>555</v>
      </c>
      <c r="D2727" s="6" t="s">
        <v>893</v>
      </c>
      <c r="E2727" s="6" t="s">
        <v>32</v>
      </c>
    </row>
    <row r="2728" spans="1:5" ht="30" customHeight="1">
      <c r="A2728" s="6">
        <v>2726</v>
      </c>
      <c r="B2728" s="6" t="s">
        <v>894</v>
      </c>
      <c r="C2728" s="6" t="s">
        <v>555</v>
      </c>
      <c r="D2728" s="6" t="s">
        <v>895</v>
      </c>
      <c r="E2728" s="6" t="s">
        <v>32</v>
      </c>
    </row>
    <row r="2729" spans="1:5" ht="30" customHeight="1">
      <c r="A2729" s="6">
        <v>2727</v>
      </c>
      <c r="B2729" s="6" t="s">
        <v>896</v>
      </c>
      <c r="C2729" s="6" t="s">
        <v>555</v>
      </c>
      <c r="D2729" s="6" t="s">
        <v>897</v>
      </c>
      <c r="E2729" s="6" t="s">
        <v>32</v>
      </c>
    </row>
    <row r="2730" spans="1:5" ht="30" customHeight="1">
      <c r="A2730" s="6">
        <v>2728</v>
      </c>
      <c r="B2730" s="6" t="s">
        <v>898</v>
      </c>
      <c r="C2730" s="6" t="s">
        <v>555</v>
      </c>
      <c r="D2730" s="6" t="s">
        <v>899</v>
      </c>
      <c r="E2730" s="6" t="s">
        <v>32</v>
      </c>
    </row>
    <row r="2731" spans="1:5" ht="30" customHeight="1">
      <c r="A2731" s="6">
        <v>2729</v>
      </c>
      <c r="B2731" s="6" t="s">
        <v>900</v>
      </c>
      <c r="C2731" s="6" t="s">
        <v>555</v>
      </c>
      <c r="D2731" s="6" t="s">
        <v>901</v>
      </c>
      <c r="E2731" s="6" t="s">
        <v>32</v>
      </c>
    </row>
    <row r="2732" spans="1:5" ht="30" customHeight="1">
      <c r="A2732" s="6">
        <v>2730</v>
      </c>
      <c r="B2732" s="6" t="s">
        <v>902</v>
      </c>
      <c r="C2732" s="6" t="s">
        <v>555</v>
      </c>
      <c r="D2732" s="6" t="s">
        <v>903</v>
      </c>
      <c r="E2732" s="6" t="s">
        <v>32</v>
      </c>
    </row>
    <row r="2733" spans="1:5" ht="30" customHeight="1">
      <c r="A2733" s="6">
        <v>2731</v>
      </c>
      <c r="B2733" s="6" t="s">
        <v>904</v>
      </c>
      <c r="C2733" s="6" t="s">
        <v>555</v>
      </c>
      <c r="D2733" s="6" t="s">
        <v>905</v>
      </c>
      <c r="E2733" s="6" t="s">
        <v>32</v>
      </c>
    </row>
    <row r="2734" spans="1:5" ht="30" customHeight="1">
      <c r="A2734" s="6">
        <v>2732</v>
      </c>
      <c r="B2734" s="6" t="s">
        <v>906</v>
      </c>
      <c r="C2734" s="6" t="s">
        <v>555</v>
      </c>
      <c r="D2734" s="6" t="s">
        <v>907</v>
      </c>
      <c r="E2734" s="6" t="s">
        <v>32</v>
      </c>
    </row>
    <row r="2735" spans="1:5" ht="30" customHeight="1">
      <c r="A2735" s="6">
        <v>2733</v>
      </c>
      <c r="B2735" s="6" t="s">
        <v>908</v>
      </c>
      <c r="C2735" s="6" t="s">
        <v>555</v>
      </c>
      <c r="D2735" s="6" t="s">
        <v>909</v>
      </c>
      <c r="E2735" s="6" t="s">
        <v>32</v>
      </c>
    </row>
    <row r="2736" spans="1:5" ht="30" customHeight="1">
      <c r="A2736" s="6">
        <v>2734</v>
      </c>
      <c r="B2736" s="6" t="s">
        <v>910</v>
      </c>
      <c r="C2736" s="6" t="s">
        <v>555</v>
      </c>
      <c r="D2736" s="6" t="s">
        <v>911</v>
      </c>
      <c r="E2736" s="6" t="s">
        <v>32</v>
      </c>
    </row>
    <row r="2737" spans="1:5" ht="30" customHeight="1">
      <c r="A2737" s="6">
        <v>2735</v>
      </c>
      <c r="B2737" s="6" t="s">
        <v>912</v>
      </c>
      <c r="C2737" s="6" t="s">
        <v>555</v>
      </c>
      <c r="D2737" s="6" t="s">
        <v>913</v>
      </c>
      <c r="E2737" s="6" t="s">
        <v>32</v>
      </c>
    </row>
    <row r="2738" spans="1:5" ht="30" customHeight="1">
      <c r="A2738" s="6">
        <v>2736</v>
      </c>
      <c r="B2738" s="6" t="s">
        <v>914</v>
      </c>
      <c r="C2738" s="6" t="s">
        <v>555</v>
      </c>
      <c r="D2738" s="6" t="s">
        <v>915</v>
      </c>
      <c r="E2738" s="6" t="s">
        <v>32</v>
      </c>
    </row>
    <row r="2739" spans="1:5" ht="30" customHeight="1">
      <c r="A2739" s="6">
        <v>2737</v>
      </c>
      <c r="B2739" s="6" t="s">
        <v>916</v>
      </c>
      <c r="C2739" s="6" t="s">
        <v>555</v>
      </c>
      <c r="D2739" s="6" t="s">
        <v>917</v>
      </c>
      <c r="E2739" s="6" t="s">
        <v>32</v>
      </c>
    </row>
    <row r="2740" spans="1:5" ht="30" customHeight="1">
      <c r="A2740" s="6">
        <v>2738</v>
      </c>
      <c r="B2740" s="6" t="s">
        <v>918</v>
      </c>
      <c r="C2740" s="6" t="s">
        <v>555</v>
      </c>
      <c r="D2740" s="6" t="s">
        <v>919</v>
      </c>
      <c r="E2740" s="6" t="s">
        <v>32</v>
      </c>
    </row>
    <row r="2741" spans="1:5" ht="30" customHeight="1">
      <c r="A2741" s="6">
        <v>2739</v>
      </c>
      <c r="B2741" s="6" t="s">
        <v>920</v>
      </c>
      <c r="C2741" s="6" t="s">
        <v>555</v>
      </c>
      <c r="D2741" s="6" t="s">
        <v>921</v>
      </c>
      <c r="E2741" s="6" t="s">
        <v>32</v>
      </c>
    </row>
    <row r="2742" spans="1:5" ht="30" customHeight="1">
      <c r="A2742" s="6">
        <v>2740</v>
      </c>
      <c r="B2742" s="6" t="s">
        <v>922</v>
      </c>
      <c r="C2742" s="6" t="s">
        <v>555</v>
      </c>
      <c r="D2742" s="6" t="s">
        <v>923</v>
      </c>
      <c r="E2742" s="6" t="s">
        <v>32</v>
      </c>
    </row>
    <row r="2743" spans="1:5" ht="30" customHeight="1">
      <c r="A2743" s="6">
        <v>2741</v>
      </c>
      <c r="B2743" s="6" t="s">
        <v>924</v>
      </c>
      <c r="C2743" s="6" t="s">
        <v>555</v>
      </c>
      <c r="D2743" s="6" t="s">
        <v>925</v>
      </c>
      <c r="E2743" s="6" t="s">
        <v>32</v>
      </c>
    </row>
    <row r="2744" spans="1:5" ht="30" customHeight="1">
      <c r="A2744" s="6">
        <v>2742</v>
      </c>
      <c r="B2744" s="6" t="s">
        <v>926</v>
      </c>
      <c r="C2744" s="6" t="s">
        <v>555</v>
      </c>
      <c r="D2744" s="6" t="s">
        <v>927</v>
      </c>
      <c r="E2744" s="6" t="s">
        <v>32</v>
      </c>
    </row>
    <row r="2745" spans="1:5" ht="30" customHeight="1">
      <c r="A2745" s="6">
        <v>2743</v>
      </c>
      <c r="B2745" s="6" t="s">
        <v>928</v>
      </c>
      <c r="C2745" s="6" t="s">
        <v>555</v>
      </c>
      <c r="D2745" s="6" t="s">
        <v>929</v>
      </c>
      <c r="E2745" s="6" t="s">
        <v>32</v>
      </c>
    </row>
    <row r="2746" spans="1:5" ht="30" customHeight="1">
      <c r="A2746" s="6">
        <v>2744</v>
      </c>
      <c r="B2746" s="6" t="s">
        <v>930</v>
      </c>
      <c r="C2746" s="6" t="s">
        <v>555</v>
      </c>
      <c r="D2746" s="6" t="s">
        <v>931</v>
      </c>
      <c r="E2746" s="6" t="s">
        <v>32</v>
      </c>
    </row>
    <row r="2747" spans="1:5" ht="30" customHeight="1">
      <c r="A2747" s="6">
        <v>2745</v>
      </c>
      <c r="B2747" s="6" t="s">
        <v>932</v>
      </c>
      <c r="C2747" s="6" t="s">
        <v>555</v>
      </c>
      <c r="D2747" s="6" t="s">
        <v>933</v>
      </c>
      <c r="E2747" s="6" t="s">
        <v>32</v>
      </c>
    </row>
    <row r="2748" spans="1:5" ht="30" customHeight="1">
      <c r="A2748" s="6">
        <v>2746</v>
      </c>
      <c r="B2748" s="6" t="s">
        <v>934</v>
      </c>
      <c r="C2748" s="6" t="s">
        <v>555</v>
      </c>
      <c r="D2748" s="6" t="s">
        <v>935</v>
      </c>
      <c r="E2748" s="6" t="s">
        <v>32</v>
      </c>
    </row>
    <row r="2749" spans="1:5" ht="30" customHeight="1">
      <c r="A2749" s="6">
        <v>2747</v>
      </c>
      <c r="B2749" s="6" t="s">
        <v>936</v>
      </c>
      <c r="C2749" s="6" t="s">
        <v>555</v>
      </c>
      <c r="D2749" s="6" t="s">
        <v>937</v>
      </c>
      <c r="E2749" s="6" t="s">
        <v>32</v>
      </c>
    </row>
    <row r="2750" spans="1:5" ht="30" customHeight="1">
      <c r="A2750" s="6">
        <v>2748</v>
      </c>
      <c r="B2750" s="6" t="s">
        <v>938</v>
      </c>
      <c r="C2750" s="6" t="s">
        <v>555</v>
      </c>
      <c r="D2750" s="6" t="s">
        <v>939</v>
      </c>
      <c r="E2750" s="6" t="s">
        <v>32</v>
      </c>
    </row>
    <row r="2751" spans="1:5" ht="30" customHeight="1">
      <c r="A2751" s="6">
        <v>2749</v>
      </c>
      <c r="B2751" s="6" t="s">
        <v>940</v>
      </c>
      <c r="C2751" s="6" t="s">
        <v>555</v>
      </c>
      <c r="D2751" s="6" t="s">
        <v>941</v>
      </c>
      <c r="E2751" s="6" t="s">
        <v>32</v>
      </c>
    </row>
    <row r="2752" spans="1:5" ht="30" customHeight="1">
      <c r="A2752" s="6">
        <v>2750</v>
      </c>
      <c r="B2752" s="6" t="s">
        <v>942</v>
      </c>
      <c r="C2752" s="6" t="s">
        <v>555</v>
      </c>
      <c r="D2752" s="6" t="s">
        <v>943</v>
      </c>
      <c r="E2752" s="6" t="s">
        <v>32</v>
      </c>
    </row>
    <row r="2753" spans="1:5" ht="30" customHeight="1">
      <c r="A2753" s="6">
        <v>2751</v>
      </c>
      <c r="B2753" s="6" t="s">
        <v>944</v>
      </c>
      <c r="C2753" s="6" t="s">
        <v>555</v>
      </c>
      <c r="D2753" s="6" t="s">
        <v>945</v>
      </c>
      <c r="E2753" s="6" t="s">
        <v>32</v>
      </c>
    </row>
    <row r="2754" spans="1:5" ht="30" customHeight="1">
      <c r="A2754" s="6">
        <v>2752</v>
      </c>
      <c r="B2754" s="6" t="s">
        <v>946</v>
      </c>
      <c r="C2754" s="6" t="s">
        <v>555</v>
      </c>
      <c r="D2754" s="6" t="s">
        <v>947</v>
      </c>
      <c r="E2754" s="6" t="s">
        <v>32</v>
      </c>
    </row>
    <row r="2755" spans="1:5" ht="30" customHeight="1">
      <c r="A2755" s="6">
        <v>2753</v>
      </c>
      <c r="B2755" s="6" t="s">
        <v>948</v>
      </c>
      <c r="C2755" s="6" t="s">
        <v>555</v>
      </c>
      <c r="D2755" s="6" t="s">
        <v>949</v>
      </c>
      <c r="E2755" s="6" t="s">
        <v>32</v>
      </c>
    </row>
    <row r="2756" spans="1:5" ht="30" customHeight="1">
      <c r="A2756" s="6">
        <v>2754</v>
      </c>
      <c r="B2756" s="6" t="s">
        <v>950</v>
      </c>
      <c r="C2756" s="6" t="s">
        <v>555</v>
      </c>
      <c r="D2756" s="6" t="s">
        <v>951</v>
      </c>
      <c r="E2756" s="6" t="s">
        <v>32</v>
      </c>
    </row>
    <row r="2757" spans="1:5" ht="30" customHeight="1">
      <c r="A2757" s="6">
        <v>2755</v>
      </c>
      <c r="B2757" s="6" t="s">
        <v>952</v>
      </c>
      <c r="C2757" s="6" t="s">
        <v>555</v>
      </c>
      <c r="D2757" s="6" t="s">
        <v>953</v>
      </c>
      <c r="E2757" s="6" t="s">
        <v>32</v>
      </c>
    </row>
    <row r="2758" spans="1:5" ht="30" customHeight="1">
      <c r="A2758" s="6">
        <v>2756</v>
      </c>
      <c r="B2758" s="6" t="s">
        <v>954</v>
      </c>
      <c r="C2758" s="6" t="s">
        <v>555</v>
      </c>
      <c r="D2758" s="6" t="s">
        <v>955</v>
      </c>
      <c r="E2758" s="6" t="s">
        <v>32</v>
      </c>
    </row>
    <row r="2759" spans="1:5" ht="30" customHeight="1">
      <c r="A2759" s="6">
        <v>2757</v>
      </c>
      <c r="B2759" s="6" t="s">
        <v>956</v>
      </c>
      <c r="C2759" s="6" t="s">
        <v>555</v>
      </c>
      <c r="D2759" s="6" t="s">
        <v>957</v>
      </c>
      <c r="E2759" s="6" t="s">
        <v>32</v>
      </c>
    </row>
    <row r="2760" spans="1:5" ht="30" customHeight="1">
      <c r="A2760" s="6">
        <v>2758</v>
      </c>
      <c r="B2760" s="6" t="s">
        <v>958</v>
      </c>
      <c r="C2760" s="6" t="s">
        <v>555</v>
      </c>
      <c r="D2760" s="6" t="s">
        <v>959</v>
      </c>
      <c r="E2760" s="6" t="s">
        <v>32</v>
      </c>
    </row>
    <row r="2761" spans="1:5" ht="30" customHeight="1">
      <c r="A2761" s="6">
        <v>2759</v>
      </c>
      <c r="B2761" s="6" t="s">
        <v>960</v>
      </c>
      <c r="C2761" s="6" t="s">
        <v>555</v>
      </c>
      <c r="D2761" s="6" t="s">
        <v>961</v>
      </c>
      <c r="E2761" s="6" t="s">
        <v>32</v>
      </c>
    </row>
    <row r="2762" spans="1:5" ht="30" customHeight="1">
      <c r="A2762" s="6">
        <v>2760</v>
      </c>
      <c r="B2762" s="6" t="s">
        <v>962</v>
      </c>
      <c r="C2762" s="6" t="s">
        <v>555</v>
      </c>
      <c r="D2762" s="6" t="s">
        <v>963</v>
      </c>
      <c r="E2762" s="6" t="s">
        <v>32</v>
      </c>
    </row>
    <row r="2763" spans="1:5" ht="30" customHeight="1">
      <c r="A2763" s="6">
        <v>2761</v>
      </c>
      <c r="B2763" s="6" t="s">
        <v>964</v>
      </c>
      <c r="C2763" s="6" t="s">
        <v>555</v>
      </c>
      <c r="D2763" s="6" t="s">
        <v>965</v>
      </c>
      <c r="E2763" s="6" t="s">
        <v>32</v>
      </c>
    </row>
    <row r="2764" spans="1:5" ht="30" customHeight="1">
      <c r="A2764" s="6">
        <v>2762</v>
      </c>
      <c r="B2764" s="6" t="s">
        <v>966</v>
      </c>
      <c r="C2764" s="6" t="s">
        <v>555</v>
      </c>
      <c r="D2764" s="6" t="s">
        <v>967</v>
      </c>
      <c r="E2764" s="6" t="s">
        <v>32</v>
      </c>
    </row>
    <row r="2765" spans="1:5" ht="30" customHeight="1">
      <c r="A2765" s="6">
        <v>2763</v>
      </c>
      <c r="B2765" s="6" t="s">
        <v>968</v>
      </c>
      <c r="C2765" s="6" t="s">
        <v>555</v>
      </c>
      <c r="D2765" s="6" t="s">
        <v>969</v>
      </c>
      <c r="E2765" s="6" t="s">
        <v>32</v>
      </c>
    </row>
    <row r="2766" spans="1:5" ht="30" customHeight="1">
      <c r="A2766" s="6">
        <v>2764</v>
      </c>
      <c r="B2766" s="6" t="s">
        <v>970</v>
      </c>
      <c r="C2766" s="6" t="s">
        <v>555</v>
      </c>
      <c r="D2766" s="6" t="s">
        <v>971</v>
      </c>
      <c r="E2766" s="6" t="s">
        <v>32</v>
      </c>
    </row>
    <row r="2767" spans="1:5" ht="30" customHeight="1">
      <c r="A2767" s="6">
        <v>2765</v>
      </c>
      <c r="B2767" s="6" t="s">
        <v>972</v>
      </c>
      <c r="C2767" s="6" t="s">
        <v>555</v>
      </c>
      <c r="D2767" s="6" t="s">
        <v>973</v>
      </c>
      <c r="E2767" s="6" t="s">
        <v>32</v>
      </c>
    </row>
    <row r="2768" spans="1:5" ht="30" customHeight="1">
      <c r="A2768" s="6">
        <v>2766</v>
      </c>
      <c r="B2768" s="6" t="s">
        <v>974</v>
      </c>
      <c r="C2768" s="6" t="s">
        <v>555</v>
      </c>
      <c r="D2768" s="6" t="s">
        <v>975</v>
      </c>
      <c r="E2768" s="6" t="s">
        <v>32</v>
      </c>
    </row>
    <row r="2769" spans="1:5" ht="30" customHeight="1">
      <c r="A2769" s="6">
        <v>2767</v>
      </c>
      <c r="B2769" s="6" t="s">
        <v>976</v>
      </c>
      <c r="C2769" s="6" t="s">
        <v>555</v>
      </c>
      <c r="D2769" s="6" t="s">
        <v>977</v>
      </c>
      <c r="E2769" s="6" t="s">
        <v>32</v>
      </c>
    </row>
    <row r="2770" spans="1:5" ht="30" customHeight="1">
      <c r="A2770" s="6">
        <v>2768</v>
      </c>
      <c r="B2770" s="6" t="s">
        <v>978</v>
      </c>
      <c r="C2770" s="6" t="s">
        <v>555</v>
      </c>
      <c r="D2770" s="6" t="s">
        <v>979</v>
      </c>
      <c r="E2770" s="6" t="s">
        <v>32</v>
      </c>
    </row>
    <row r="2771" spans="1:5" ht="30" customHeight="1">
      <c r="A2771" s="6">
        <v>2769</v>
      </c>
      <c r="B2771" s="6" t="s">
        <v>980</v>
      </c>
      <c r="C2771" s="6" t="s">
        <v>555</v>
      </c>
      <c r="D2771" s="6" t="s">
        <v>981</v>
      </c>
      <c r="E2771" s="6" t="s">
        <v>32</v>
      </c>
    </row>
    <row r="2772" spans="1:5" ht="30" customHeight="1">
      <c r="A2772" s="6">
        <v>2770</v>
      </c>
      <c r="B2772" s="6" t="s">
        <v>982</v>
      </c>
      <c r="C2772" s="6" t="s">
        <v>555</v>
      </c>
      <c r="D2772" s="6" t="s">
        <v>983</v>
      </c>
      <c r="E2772" s="6" t="s">
        <v>32</v>
      </c>
    </row>
    <row r="2773" spans="1:5" ht="30" customHeight="1">
      <c r="A2773" s="6">
        <v>2771</v>
      </c>
      <c r="B2773" s="6" t="s">
        <v>984</v>
      </c>
      <c r="C2773" s="6" t="s">
        <v>555</v>
      </c>
      <c r="D2773" s="6" t="s">
        <v>985</v>
      </c>
      <c r="E2773" s="6" t="s">
        <v>32</v>
      </c>
    </row>
    <row r="2774" spans="1:5" ht="30" customHeight="1">
      <c r="A2774" s="6">
        <v>2772</v>
      </c>
      <c r="B2774" s="6" t="s">
        <v>986</v>
      </c>
      <c r="C2774" s="6" t="s">
        <v>555</v>
      </c>
      <c r="D2774" s="6" t="s">
        <v>987</v>
      </c>
      <c r="E2774" s="6" t="s">
        <v>32</v>
      </c>
    </row>
    <row r="2775" spans="1:5" ht="30" customHeight="1">
      <c r="A2775" s="6">
        <v>2773</v>
      </c>
      <c r="B2775" s="6" t="s">
        <v>988</v>
      </c>
      <c r="C2775" s="6" t="s">
        <v>555</v>
      </c>
      <c r="D2775" s="6" t="s">
        <v>989</v>
      </c>
      <c r="E2775" s="6" t="s">
        <v>32</v>
      </c>
    </row>
    <row r="2776" spans="1:5" ht="30" customHeight="1">
      <c r="A2776" s="6">
        <v>2774</v>
      </c>
      <c r="B2776" s="6" t="s">
        <v>990</v>
      </c>
      <c r="C2776" s="6" t="s">
        <v>555</v>
      </c>
      <c r="D2776" s="6" t="s">
        <v>991</v>
      </c>
      <c r="E2776" s="6" t="s">
        <v>32</v>
      </c>
    </row>
    <row r="2777" spans="1:5" ht="30" customHeight="1">
      <c r="A2777" s="6">
        <v>2775</v>
      </c>
      <c r="B2777" s="6" t="s">
        <v>992</v>
      </c>
      <c r="C2777" s="6" t="s">
        <v>555</v>
      </c>
      <c r="D2777" s="6" t="s">
        <v>993</v>
      </c>
      <c r="E2777" s="6" t="s">
        <v>32</v>
      </c>
    </row>
    <row r="2778" spans="1:5" ht="30" customHeight="1">
      <c r="A2778" s="6">
        <v>2776</v>
      </c>
      <c r="B2778" s="6" t="s">
        <v>994</v>
      </c>
      <c r="C2778" s="6" t="s">
        <v>555</v>
      </c>
      <c r="D2778" s="6" t="s">
        <v>995</v>
      </c>
      <c r="E2778" s="6" t="s">
        <v>32</v>
      </c>
    </row>
    <row r="2779" spans="1:5" ht="30" customHeight="1">
      <c r="A2779" s="6">
        <v>2777</v>
      </c>
      <c r="B2779" s="6" t="s">
        <v>996</v>
      </c>
      <c r="C2779" s="6" t="s">
        <v>555</v>
      </c>
      <c r="D2779" s="6" t="s">
        <v>997</v>
      </c>
      <c r="E2779" s="6" t="s">
        <v>32</v>
      </c>
    </row>
    <row r="2780" spans="1:5" ht="30" customHeight="1">
      <c r="A2780" s="6">
        <v>2778</v>
      </c>
      <c r="B2780" s="6" t="s">
        <v>998</v>
      </c>
      <c r="C2780" s="6" t="s">
        <v>555</v>
      </c>
      <c r="D2780" s="6" t="s">
        <v>999</v>
      </c>
      <c r="E2780" s="6" t="s">
        <v>32</v>
      </c>
    </row>
    <row r="2781" spans="1:5" ht="30" customHeight="1">
      <c r="A2781" s="6">
        <v>2779</v>
      </c>
      <c r="B2781" s="6" t="s">
        <v>1000</v>
      </c>
      <c r="C2781" s="6" t="s">
        <v>555</v>
      </c>
      <c r="D2781" s="6" t="s">
        <v>1001</v>
      </c>
      <c r="E2781" s="6" t="s">
        <v>32</v>
      </c>
    </row>
    <row r="2782" spans="1:5" ht="30" customHeight="1">
      <c r="A2782" s="6">
        <v>2780</v>
      </c>
      <c r="B2782" s="6" t="s">
        <v>1002</v>
      </c>
      <c r="C2782" s="6" t="s">
        <v>555</v>
      </c>
      <c r="D2782" s="6" t="s">
        <v>1003</v>
      </c>
      <c r="E2782" s="6" t="s">
        <v>32</v>
      </c>
    </row>
    <row r="2783" spans="1:5" ht="30" customHeight="1">
      <c r="A2783" s="6">
        <v>2781</v>
      </c>
      <c r="B2783" s="6" t="s">
        <v>1004</v>
      </c>
      <c r="C2783" s="6" t="s">
        <v>555</v>
      </c>
      <c r="D2783" s="6" t="s">
        <v>1005</v>
      </c>
      <c r="E2783" s="6" t="s">
        <v>32</v>
      </c>
    </row>
    <row r="2784" spans="1:5" ht="30" customHeight="1">
      <c r="A2784" s="6">
        <v>2782</v>
      </c>
      <c r="B2784" s="6" t="s">
        <v>1006</v>
      </c>
      <c r="C2784" s="6" t="s">
        <v>555</v>
      </c>
      <c r="D2784" s="6" t="s">
        <v>1007</v>
      </c>
      <c r="E2784" s="6" t="s">
        <v>32</v>
      </c>
    </row>
    <row r="2785" spans="1:5" ht="30" customHeight="1">
      <c r="A2785" s="6">
        <v>2783</v>
      </c>
      <c r="B2785" s="6" t="s">
        <v>1008</v>
      </c>
      <c r="C2785" s="6" t="s">
        <v>555</v>
      </c>
      <c r="D2785" s="6" t="s">
        <v>1009</v>
      </c>
      <c r="E2785" s="6" t="s">
        <v>32</v>
      </c>
    </row>
    <row r="2786" spans="1:5" ht="30" customHeight="1">
      <c r="A2786" s="6">
        <v>2784</v>
      </c>
      <c r="B2786" s="6" t="s">
        <v>1010</v>
      </c>
      <c r="C2786" s="6" t="s">
        <v>555</v>
      </c>
      <c r="D2786" s="6" t="s">
        <v>1011</v>
      </c>
      <c r="E2786" s="6" t="s">
        <v>32</v>
      </c>
    </row>
    <row r="2787" spans="1:5" ht="30" customHeight="1">
      <c r="A2787" s="6">
        <v>2785</v>
      </c>
      <c r="B2787" s="6" t="s">
        <v>1012</v>
      </c>
      <c r="C2787" s="6" t="s">
        <v>555</v>
      </c>
      <c r="D2787" s="6" t="s">
        <v>1013</v>
      </c>
      <c r="E2787" s="6" t="s">
        <v>32</v>
      </c>
    </row>
    <row r="2788" spans="1:5" ht="30" customHeight="1">
      <c r="A2788" s="6">
        <v>2786</v>
      </c>
      <c r="B2788" s="6" t="s">
        <v>1014</v>
      </c>
      <c r="C2788" s="6" t="s">
        <v>555</v>
      </c>
      <c r="D2788" s="6" t="s">
        <v>1015</v>
      </c>
      <c r="E2788" s="6" t="s">
        <v>32</v>
      </c>
    </row>
    <row r="2789" spans="1:5" ht="30" customHeight="1">
      <c r="A2789" s="6">
        <v>2787</v>
      </c>
      <c r="B2789" s="6" t="s">
        <v>1016</v>
      </c>
      <c r="C2789" s="6" t="s">
        <v>555</v>
      </c>
      <c r="D2789" s="6" t="s">
        <v>1017</v>
      </c>
      <c r="E2789" s="6" t="s">
        <v>32</v>
      </c>
    </row>
    <row r="2790" spans="1:5" ht="30" customHeight="1">
      <c r="A2790" s="6">
        <v>2788</v>
      </c>
      <c r="B2790" s="6" t="s">
        <v>1018</v>
      </c>
      <c r="C2790" s="6" t="s">
        <v>555</v>
      </c>
      <c r="D2790" s="6" t="s">
        <v>1019</v>
      </c>
      <c r="E2790" s="6" t="s">
        <v>32</v>
      </c>
    </row>
    <row r="2791" spans="1:5" ht="30" customHeight="1">
      <c r="A2791" s="6">
        <v>2789</v>
      </c>
      <c r="B2791" s="6" t="s">
        <v>1020</v>
      </c>
      <c r="C2791" s="6" t="s">
        <v>555</v>
      </c>
      <c r="D2791" s="6" t="s">
        <v>1021</v>
      </c>
      <c r="E2791" s="6" t="s">
        <v>32</v>
      </c>
    </row>
    <row r="2792" spans="1:5" ht="30" customHeight="1">
      <c r="A2792" s="6">
        <v>2790</v>
      </c>
      <c r="B2792" s="6" t="s">
        <v>1022</v>
      </c>
      <c r="C2792" s="6" t="s">
        <v>555</v>
      </c>
      <c r="D2792" s="6" t="s">
        <v>1023</v>
      </c>
      <c r="E2792" s="6" t="s">
        <v>32</v>
      </c>
    </row>
    <row r="2793" spans="1:5" ht="30" customHeight="1">
      <c r="A2793" s="6">
        <v>2791</v>
      </c>
      <c r="B2793" s="6" t="s">
        <v>1024</v>
      </c>
      <c r="C2793" s="6" t="s">
        <v>555</v>
      </c>
      <c r="D2793" s="6" t="s">
        <v>1025</v>
      </c>
      <c r="E2793" s="6" t="s">
        <v>32</v>
      </c>
    </row>
    <row r="2794" spans="1:5" ht="30" customHeight="1">
      <c r="A2794" s="6">
        <v>2792</v>
      </c>
      <c r="B2794" s="6" t="s">
        <v>1026</v>
      </c>
      <c r="C2794" s="6" t="s">
        <v>555</v>
      </c>
      <c r="D2794" s="6" t="s">
        <v>1027</v>
      </c>
      <c r="E2794" s="6" t="s">
        <v>32</v>
      </c>
    </row>
    <row r="2795" spans="1:5" ht="30" customHeight="1">
      <c r="A2795" s="6">
        <v>2793</v>
      </c>
      <c r="B2795" s="6" t="s">
        <v>1028</v>
      </c>
      <c r="C2795" s="6" t="s">
        <v>555</v>
      </c>
      <c r="D2795" s="6" t="s">
        <v>1029</v>
      </c>
      <c r="E2795" s="6" t="s">
        <v>32</v>
      </c>
    </row>
    <row r="2796" spans="1:5" ht="30" customHeight="1">
      <c r="A2796" s="6">
        <v>2794</v>
      </c>
      <c r="B2796" s="6" t="s">
        <v>1030</v>
      </c>
      <c r="C2796" s="6" t="s">
        <v>555</v>
      </c>
      <c r="D2796" s="6" t="s">
        <v>1031</v>
      </c>
      <c r="E2796" s="6" t="s">
        <v>32</v>
      </c>
    </row>
    <row r="2797" spans="1:5" ht="30" customHeight="1">
      <c r="A2797" s="6">
        <v>2795</v>
      </c>
      <c r="B2797" s="6" t="s">
        <v>1032</v>
      </c>
      <c r="C2797" s="6" t="s">
        <v>555</v>
      </c>
      <c r="D2797" s="6" t="s">
        <v>1033</v>
      </c>
      <c r="E2797" s="6" t="s">
        <v>32</v>
      </c>
    </row>
    <row r="2798" spans="1:5" ht="30" customHeight="1">
      <c r="A2798" s="6">
        <v>2796</v>
      </c>
      <c r="B2798" s="6" t="s">
        <v>1034</v>
      </c>
      <c r="C2798" s="6" t="s">
        <v>555</v>
      </c>
      <c r="D2798" s="6" t="s">
        <v>1035</v>
      </c>
      <c r="E2798" s="6" t="s">
        <v>32</v>
      </c>
    </row>
    <row r="2799" spans="1:5" ht="30" customHeight="1">
      <c r="A2799" s="6">
        <v>2797</v>
      </c>
      <c r="B2799" s="6" t="s">
        <v>1036</v>
      </c>
      <c r="C2799" s="6" t="s">
        <v>555</v>
      </c>
      <c r="D2799" s="6" t="s">
        <v>1037</v>
      </c>
      <c r="E2799" s="6" t="s">
        <v>32</v>
      </c>
    </row>
    <row r="2800" spans="1:5" ht="30" customHeight="1">
      <c r="A2800" s="6">
        <v>2798</v>
      </c>
      <c r="B2800" s="6" t="s">
        <v>1038</v>
      </c>
      <c r="C2800" s="6" t="s">
        <v>555</v>
      </c>
      <c r="D2800" s="6" t="s">
        <v>1039</v>
      </c>
      <c r="E2800" s="6" t="s">
        <v>32</v>
      </c>
    </row>
    <row r="2801" spans="1:5" ht="30" customHeight="1">
      <c r="A2801" s="6">
        <v>2799</v>
      </c>
      <c r="B2801" s="6" t="s">
        <v>1040</v>
      </c>
      <c r="C2801" s="6" t="s">
        <v>555</v>
      </c>
      <c r="D2801" s="6" t="s">
        <v>1041</v>
      </c>
      <c r="E2801" s="6" t="s">
        <v>32</v>
      </c>
    </row>
    <row r="2802" spans="1:5" ht="30" customHeight="1">
      <c r="A2802" s="6">
        <v>2800</v>
      </c>
      <c r="B2802" s="6" t="s">
        <v>1042</v>
      </c>
      <c r="C2802" s="6" t="s">
        <v>555</v>
      </c>
      <c r="D2802" s="6" t="s">
        <v>1043</v>
      </c>
      <c r="E2802" s="6" t="s">
        <v>32</v>
      </c>
    </row>
    <row r="2803" spans="1:5" ht="30" customHeight="1">
      <c r="A2803" s="6">
        <v>2801</v>
      </c>
      <c r="B2803" s="6" t="s">
        <v>1044</v>
      </c>
      <c r="C2803" s="6" t="s">
        <v>555</v>
      </c>
      <c r="D2803" s="6" t="s">
        <v>1045</v>
      </c>
      <c r="E2803" s="6" t="s">
        <v>32</v>
      </c>
    </row>
    <row r="2804" spans="1:5" ht="30" customHeight="1">
      <c r="A2804" s="6">
        <v>2802</v>
      </c>
      <c r="B2804" s="6" t="s">
        <v>1046</v>
      </c>
      <c r="C2804" s="6" t="s">
        <v>555</v>
      </c>
      <c r="D2804" s="6" t="s">
        <v>1047</v>
      </c>
      <c r="E2804" s="6" t="s">
        <v>32</v>
      </c>
    </row>
    <row r="2805" spans="1:5" ht="30" customHeight="1">
      <c r="A2805" s="6">
        <v>2803</v>
      </c>
      <c r="B2805" s="6" t="s">
        <v>1048</v>
      </c>
      <c r="C2805" s="6" t="s">
        <v>555</v>
      </c>
      <c r="D2805" s="6" t="s">
        <v>1049</v>
      </c>
      <c r="E2805" s="6" t="s">
        <v>32</v>
      </c>
    </row>
    <row r="2806" spans="1:5" ht="30" customHeight="1">
      <c r="A2806" s="6">
        <v>2804</v>
      </c>
      <c r="B2806" s="6" t="s">
        <v>1050</v>
      </c>
      <c r="C2806" s="6" t="s">
        <v>555</v>
      </c>
      <c r="D2806" s="6" t="s">
        <v>1051</v>
      </c>
      <c r="E2806" s="6" t="s">
        <v>32</v>
      </c>
    </row>
    <row r="2807" spans="1:5" ht="30" customHeight="1">
      <c r="A2807" s="6">
        <v>2805</v>
      </c>
      <c r="B2807" s="6" t="s">
        <v>1052</v>
      </c>
      <c r="C2807" s="6" t="s">
        <v>555</v>
      </c>
      <c r="D2807" s="6" t="s">
        <v>1053</v>
      </c>
      <c r="E2807" s="6" t="s">
        <v>32</v>
      </c>
    </row>
    <row r="2808" spans="1:5" ht="30" customHeight="1">
      <c r="A2808" s="6">
        <v>2806</v>
      </c>
      <c r="B2808" s="6" t="s">
        <v>1054</v>
      </c>
      <c r="C2808" s="6" t="s">
        <v>555</v>
      </c>
      <c r="D2808" s="6" t="s">
        <v>1055</v>
      </c>
      <c r="E2808" s="6" t="s">
        <v>32</v>
      </c>
    </row>
    <row r="2809" spans="1:5" ht="30" customHeight="1">
      <c r="A2809" s="6">
        <v>2807</v>
      </c>
      <c r="B2809" s="6" t="s">
        <v>1056</v>
      </c>
      <c r="C2809" s="6" t="s">
        <v>555</v>
      </c>
      <c r="D2809" s="6" t="s">
        <v>1057</v>
      </c>
      <c r="E2809" s="6" t="s">
        <v>32</v>
      </c>
    </row>
    <row r="2810" spans="1:5" ht="30" customHeight="1">
      <c r="A2810" s="6">
        <v>2808</v>
      </c>
      <c r="B2810" s="6" t="s">
        <v>1058</v>
      </c>
      <c r="C2810" s="6" t="s">
        <v>555</v>
      </c>
      <c r="D2810" s="6" t="s">
        <v>1059</v>
      </c>
      <c r="E2810" s="6" t="s">
        <v>32</v>
      </c>
    </row>
    <row r="2811" spans="1:5" ht="30" customHeight="1">
      <c r="A2811" s="6">
        <v>2809</v>
      </c>
      <c r="B2811" s="6" t="s">
        <v>1060</v>
      </c>
      <c r="C2811" s="6" t="s">
        <v>555</v>
      </c>
      <c r="D2811" s="6" t="s">
        <v>1061</v>
      </c>
      <c r="E2811" s="6" t="s">
        <v>32</v>
      </c>
    </row>
    <row r="2812" spans="1:5" ht="30" customHeight="1">
      <c r="A2812" s="6">
        <v>2810</v>
      </c>
      <c r="B2812" s="6" t="s">
        <v>1062</v>
      </c>
      <c r="C2812" s="6" t="s">
        <v>555</v>
      </c>
      <c r="D2812" s="6" t="s">
        <v>1063</v>
      </c>
      <c r="E2812" s="6" t="s">
        <v>32</v>
      </c>
    </row>
    <row r="2813" spans="1:5" ht="30" customHeight="1">
      <c r="A2813" s="6">
        <v>2811</v>
      </c>
      <c r="B2813" s="6" t="s">
        <v>1064</v>
      </c>
      <c r="C2813" s="6" t="s">
        <v>555</v>
      </c>
      <c r="D2813" s="6" t="s">
        <v>1065</v>
      </c>
      <c r="E2813" s="6" t="s">
        <v>32</v>
      </c>
    </row>
    <row r="2814" spans="1:5" ht="30" customHeight="1">
      <c r="A2814" s="6">
        <v>2812</v>
      </c>
      <c r="B2814" s="6" t="s">
        <v>1066</v>
      </c>
      <c r="C2814" s="6" t="s">
        <v>555</v>
      </c>
      <c r="D2814" s="6" t="s">
        <v>353</v>
      </c>
      <c r="E2814" s="6" t="s">
        <v>32</v>
      </c>
    </row>
    <row r="2815" spans="1:5" ht="30" customHeight="1">
      <c r="A2815" s="6">
        <v>2813</v>
      </c>
      <c r="B2815" s="6" t="s">
        <v>1067</v>
      </c>
      <c r="C2815" s="6" t="s">
        <v>555</v>
      </c>
      <c r="D2815" s="6" t="s">
        <v>1068</v>
      </c>
      <c r="E2815" s="6" t="s">
        <v>32</v>
      </c>
    </row>
    <row r="2816" spans="1:5" ht="30" customHeight="1">
      <c r="A2816" s="6">
        <v>2814</v>
      </c>
      <c r="B2816" s="6" t="s">
        <v>1069</v>
      </c>
      <c r="C2816" s="6" t="s">
        <v>555</v>
      </c>
      <c r="D2816" s="6" t="s">
        <v>1070</v>
      </c>
      <c r="E2816" s="6" t="s">
        <v>32</v>
      </c>
    </row>
    <row r="2817" spans="1:5" ht="30" customHeight="1">
      <c r="A2817" s="6">
        <v>2815</v>
      </c>
      <c r="B2817" s="6" t="s">
        <v>1071</v>
      </c>
      <c r="C2817" s="6" t="s">
        <v>555</v>
      </c>
      <c r="D2817" s="6" t="s">
        <v>1072</v>
      </c>
      <c r="E2817" s="6" t="s">
        <v>32</v>
      </c>
    </row>
    <row r="2818" spans="1:5" ht="30" customHeight="1">
      <c r="A2818" s="6">
        <v>2816</v>
      </c>
      <c r="B2818" s="6" t="s">
        <v>1073</v>
      </c>
      <c r="C2818" s="6" t="s">
        <v>555</v>
      </c>
      <c r="D2818" s="6" t="s">
        <v>1074</v>
      </c>
      <c r="E2818" s="6" t="s">
        <v>32</v>
      </c>
    </row>
    <row r="2819" spans="1:5" ht="30" customHeight="1">
      <c r="A2819" s="6">
        <v>2817</v>
      </c>
      <c r="B2819" s="6" t="s">
        <v>1075</v>
      </c>
      <c r="C2819" s="6" t="s">
        <v>555</v>
      </c>
      <c r="D2819" s="6" t="s">
        <v>1076</v>
      </c>
      <c r="E2819" s="6" t="s">
        <v>32</v>
      </c>
    </row>
    <row r="2820" spans="1:5" ht="30" customHeight="1">
      <c r="A2820" s="6">
        <v>2818</v>
      </c>
      <c r="B2820" s="6" t="s">
        <v>1077</v>
      </c>
      <c r="C2820" s="6" t="s">
        <v>555</v>
      </c>
      <c r="D2820" s="6" t="s">
        <v>1078</v>
      </c>
      <c r="E2820" s="6" t="s">
        <v>32</v>
      </c>
    </row>
    <row r="2821" spans="1:5" ht="30" customHeight="1">
      <c r="A2821" s="6">
        <v>2819</v>
      </c>
      <c r="B2821" s="6" t="s">
        <v>1079</v>
      </c>
      <c r="C2821" s="6" t="s">
        <v>555</v>
      </c>
      <c r="D2821" s="6" t="s">
        <v>1080</v>
      </c>
      <c r="E2821" s="6" t="s">
        <v>32</v>
      </c>
    </row>
    <row r="2822" spans="1:5" ht="30" customHeight="1">
      <c r="A2822" s="6">
        <v>2820</v>
      </c>
      <c r="B2822" s="6" t="s">
        <v>1081</v>
      </c>
      <c r="C2822" s="6" t="s">
        <v>555</v>
      </c>
      <c r="D2822" s="6" t="s">
        <v>1082</v>
      </c>
      <c r="E2822" s="6" t="s">
        <v>32</v>
      </c>
    </row>
    <row r="2823" spans="1:5" ht="30" customHeight="1">
      <c r="A2823" s="6">
        <v>2821</v>
      </c>
      <c r="B2823" s="6" t="s">
        <v>1083</v>
      </c>
      <c r="C2823" s="6" t="s">
        <v>555</v>
      </c>
      <c r="D2823" s="6" t="s">
        <v>1084</v>
      </c>
      <c r="E2823" s="6" t="s">
        <v>32</v>
      </c>
    </row>
    <row r="2824" spans="1:5" ht="30" customHeight="1">
      <c r="A2824" s="6">
        <v>2822</v>
      </c>
      <c r="B2824" s="6" t="s">
        <v>1085</v>
      </c>
      <c r="C2824" s="6" t="s">
        <v>555</v>
      </c>
      <c r="D2824" s="6" t="s">
        <v>1086</v>
      </c>
      <c r="E2824" s="6" t="s">
        <v>32</v>
      </c>
    </row>
    <row r="2825" spans="1:5" ht="30" customHeight="1">
      <c r="A2825" s="6">
        <v>2823</v>
      </c>
      <c r="B2825" s="6" t="s">
        <v>1087</v>
      </c>
      <c r="C2825" s="6" t="s">
        <v>555</v>
      </c>
      <c r="D2825" s="6" t="s">
        <v>1088</v>
      </c>
      <c r="E2825" s="6" t="s">
        <v>32</v>
      </c>
    </row>
    <row r="2826" spans="1:5" ht="30" customHeight="1">
      <c r="A2826" s="6">
        <v>2824</v>
      </c>
      <c r="B2826" s="6" t="s">
        <v>1089</v>
      </c>
      <c r="C2826" s="6" t="s">
        <v>555</v>
      </c>
      <c r="D2826" s="6" t="s">
        <v>1090</v>
      </c>
      <c r="E2826" s="6" t="s">
        <v>32</v>
      </c>
    </row>
    <row r="2827" spans="1:5" ht="30" customHeight="1">
      <c r="A2827" s="6">
        <v>2825</v>
      </c>
      <c r="B2827" s="6" t="s">
        <v>1091</v>
      </c>
      <c r="C2827" s="6" t="s">
        <v>555</v>
      </c>
      <c r="D2827" s="6" t="s">
        <v>1092</v>
      </c>
      <c r="E2827" s="6" t="s">
        <v>32</v>
      </c>
    </row>
    <row r="2828" spans="1:5" ht="30" customHeight="1">
      <c r="A2828" s="6">
        <v>2826</v>
      </c>
      <c r="B2828" s="6" t="s">
        <v>1093</v>
      </c>
      <c r="C2828" s="6" t="s">
        <v>555</v>
      </c>
      <c r="D2828" s="6" t="s">
        <v>1094</v>
      </c>
      <c r="E2828" s="6" t="s">
        <v>32</v>
      </c>
    </row>
    <row r="2829" spans="1:5" ht="30" customHeight="1">
      <c r="A2829" s="6">
        <v>2827</v>
      </c>
      <c r="B2829" s="6" t="s">
        <v>1095</v>
      </c>
      <c r="C2829" s="6" t="s">
        <v>555</v>
      </c>
      <c r="D2829" s="6" t="s">
        <v>1096</v>
      </c>
      <c r="E2829" s="6" t="s">
        <v>32</v>
      </c>
    </row>
    <row r="2830" spans="1:5" ht="30" customHeight="1">
      <c r="A2830" s="6">
        <v>2828</v>
      </c>
      <c r="B2830" s="6" t="s">
        <v>1097</v>
      </c>
      <c r="C2830" s="6" t="s">
        <v>555</v>
      </c>
      <c r="D2830" s="6" t="s">
        <v>1098</v>
      </c>
      <c r="E2830" s="6" t="s">
        <v>32</v>
      </c>
    </row>
    <row r="2831" spans="1:5" ht="30" customHeight="1">
      <c r="A2831" s="6">
        <v>2829</v>
      </c>
      <c r="B2831" s="6" t="s">
        <v>1099</v>
      </c>
      <c r="C2831" s="6" t="s">
        <v>555</v>
      </c>
      <c r="D2831" s="6" t="s">
        <v>1100</v>
      </c>
      <c r="E2831" s="6" t="s">
        <v>32</v>
      </c>
    </row>
    <row r="2832" spans="1:5" ht="30" customHeight="1">
      <c r="A2832" s="6">
        <v>2830</v>
      </c>
      <c r="B2832" s="6" t="s">
        <v>1101</v>
      </c>
      <c r="C2832" s="6" t="s">
        <v>555</v>
      </c>
      <c r="D2832" s="6" t="s">
        <v>1102</v>
      </c>
      <c r="E2832" s="6" t="s">
        <v>32</v>
      </c>
    </row>
    <row r="2833" spans="1:5" ht="30" customHeight="1">
      <c r="A2833" s="6">
        <v>2831</v>
      </c>
      <c r="B2833" s="6" t="s">
        <v>1103</v>
      </c>
      <c r="C2833" s="6" t="s">
        <v>555</v>
      </c>
      <c r="D2833" s="6" t="s">
        <v>1104</v>
      </c>
      <c r="E2833" s="6" t="s">
        <v>32</v>
      </c>
    </row>
    <row r="2834" spans="1:5" ht="30" customHeight="1">
      <c r="A2834" s="6">
        <v>2832</v>
      </c>
      <c r="B2834" s="6" t="s">
        <v>1105</v>
      </c>
      <c r="C2834" s="6" t="s">
        <v>555</v>
      </c>
      <c r="D2834" s="6" t="s">
        <v>1106</v>
      </c>
      <c r="E2834" s="6" t="s">
        <v>32</v>
      </c>
    </row>
    <row r="2835" spans="1:5" ht="30" customHeight="1">
      <c r="A2835" s="6">
        <v>2833</v>
      </c>
      <c r="B2835" s="6" t="s">
        <v>1107</v>
      </c>
      <c r="C2835" s="6" t="s">
        <v>555</v>
      </c>
      <c r="D2835" s="6" t="s">
        <v>1108</v>
      </c>
      <c r="E2835" s="6" t="s">
        <v>32</v>
      </c>
    </row>
    <row r="2836" spans="1:5" ht="30" customHeight="1">
      <c r="A2836" s="6">
        <v>2834</v>
      </c>
      <c r="B2836" s="6" t="s">
        <v>1109</v>
      </c>
      <c r="C2836" s="6" t="s">
        <v>555</v>
      </c>
      <c r="D2836" s="6" t="s">
        <v>1110</v>
      </c>
      <c r="E2836" s="6" t="s">
        <v>32</v>
      </c>
    </row>
    <row r="2837" spans="1:5" ht="30" customHeight="1">
      <c r="A2837" s="6">
        <v>2835</v>
      </c>
      <c r="B2837" s="6" t="s">
        <v>1111</v>
      </c>
      <c r="C2837" s="6" t="s">
        <v>555</v>
      </c>
      <c r="D2837" s="6" t="s">
        <v>1112</v>
      </c>
      <c r="E2837" s="6" t="s">
        <v>32</v>
      </c>
    </row>
    <row r="2838" spans="1:5" ht="30" customHeight="1">
      <c r="A2838" s="6">
        <v>2836</v>
      </c>
      <c r="B2838" s="6" t="s">
        <v>1113</v>
      </c>
      <c r="C2838" s="6" t="s">
        <v>555</v>
      </c>
      <c r="D2838" s="6" t="s">
        <v>1114</v>
      </c>
      <c r="E2838" s="6" t="s">
        <v>32</v>
      </c>
    </row>
    <row r="2839" spans="1:5" ht="30" customHeight="1">
      <c r="A2839" s="6">
        <v>2837</v>
      </c>
      <c r="B2839" s="6" t="s">
        <v>1115</v>
      </c>
      <c r="C2839" s="6" t="s">
        <v>555</v>
      </c>
      <c r="D2839" s="6" t="s">
        <v>1116</v>
      </c>
      <c r="E2839" s="6" t="s">
        <v>32</v>
      </c>
    </row>
    <row r="2840" spans="1:5" ht="30" customHeight="1">
      <c r="A2840" s="6">
        <v>2838</v>
      </c>
      <c r="B2840" s="6" t="s">
        <v>1117</v>
      </c>
      <c r="C2840" s="6" t="s">
        <v>555</v>
      </c>
      <c r="D2840" s="6" t="s">
        <v>1118</v>
      </c>
      <c r="E2840" s="6" t="s">
        <v>32</v>
      </c>
    </row>
    <row r="2841" spans="1:5" ht="30" customHeight="1">
      <c r="A2841" s="6">
        <v>2839</v>
      </c>
      <c r="B2841" s="6" t="s">
        <v>1119</v>
      </c>
      <c r="C2841" s="6" t="s">
        <v>555</v>
      </c>
      <c r="D2841" s="6" t="s">
        <v>1120</v>
      </c>
      <c r="E2841" s="6" t="s">
        <v>32</v>
      </c>
    </row>
    <row r="2842" spans="1:5" ht="30" customHeight="1">
      <c r="A2842" s="6">
        <v>2840</v>
      </c>
      <c r="B2842" s="6" t="s">
        <v>1121</v>
      </c>
      <c r="C2842" s="6" t="s">
        <v>555</v>
      </c>
      <c r="D2842" s="6" t="s">
        <v>1122</v>
      </c>
      <c r="E2842" s="6" t="s">
        <v>32</v>
      </c>
    </row>
    <row r="2843" spans="1:5" ht="30" customHeight="1">
      <c r="A2843" s="6">
        <v>2841</v>
      </c>
      <c r="B2843" s="6" t="s">
        <v>1123</v>
      </c>
      <c r="C2843" s="6" t="s">
        <v>555</v>
      </c>
      <c r="D2843" s="6" t="s">
        <v>1124</v>
      </c>
      <c r="E2843" s="6" t="s">
        <v>32</v>
      </c>
    </row>
    <row r="2844" spans="1:5" ht="30" customHeight="1">
      <c r="A2844" s="6">
        <v>2842</v>
      </c>
      <c r="B2844" s="6" t="s">
        <v>1125</v>
      </c>
      <c r="C2844" s="6" t="s">
        <v>555</v>
      </c>
      <c r="D2844" s="6" t="s">
        <v>1126</v>
      </c>
      <c r="E2844" s="6" t="s">
        <v>32</v>
      </c>
    </row>
    <row r="2845" spans="1:5" ht="30" customHeight="1">
      <c r="A2845" s="6">
        <v>2843</v>
      </c>
      <c r="B2845" s="6" t="s">
        <v>1127</v>
      </c>
      <c r="C2845" s="6" t="s">
        <v>555</v>
      </c>
      <c r="D2845" s="6" t="s">
        <v>1128</v>
      </c>
      <c r="E2845" s="6" t="s">
        <v>32</v>
      </c>
    </row>
    <row r="2846" spans="1:5" ht="30" customHeight="1">
      <c r="A2846" s="6">
        <v>2844</v>
      </c>
      <c r="B2846" s="6" t="s">
        <v>1129</v>
      </c>
      <c r="C2846" s="6" t="s">
        <v>555</v>
      </c>
      <c r="D2846" s="6" t="s">
        <v>1130</v>
      </c>
      <c r="E2846" s="6" t="s">
        <v>32</v>
      </c>
    </row>
    <row r="2847" spans="1:5" ht="30" customHeight="1">
      <c r="A2847" s="6">
        <v>2845</v>
      </c>
      <c r="B2847" s="6" t="s">
        <v>1131</v>
      </c>
      <c r="C2847" s="6" t="s">
        <v>555</v>
      </c>
      <c r="D2847" s="6" t="s">
        <v>1132</v>
      </c>
      <c r="E2847" s="6" t="s">
        <v>32</v>
      </c>
    </row>
    <row r="2848" spans="1:5" ht="30" customHeight="1">
      <c r="A2848" s="6">
        <v>2846</v>
      </c>
      <c r="B2848" s="6" t="s">
        <v>1133</v>
      </c>
      <c r="C2848" s="6" t="s">
        <v>555</v>
      </c>
      <c r="D2848" s="6" t="s">
        <v>1134</v>
      </c>
      <c r="E2848" s="6" t="s">
        <v>32</v>
      </c>
    </row>
    <row r="2849" spans="1:5" ht="30" customHeight="1">
      <c r="A2849" s="6">
        <v>2847</v>
      </c>
      <c r="B2849" s="6" t="s">
        <v>1135</v>
      </c>
      <c r="C2849" s="6" t="s">
        <v>555</v>
      </c>
      <c r="D2849" s="6" t="s">
        <v>236</v>
      </c>
      <c r="E2849" s="6" t="s">
        <v>32</v>
      </c>
    </row>
    <row r="2850" spans="1:5" ht="30" customHeight="1">
      <c r="A2850" s="6">
        <v>2848</v>
      </c>
      <c r="B2850" s="6" t="s">
        <v>1136</v>
      </c>
      <c r="C2850" s="6" t="s">
        <v>555</v>
      </c>
      <c r="D2850" s="6" t="s">
        <v>1137</v>
      </c>
      <c r="E2850" s="6" t="s">
        <v>32</v>
      </c>
    </row>
    <row r="2851" spans="1:5" ht="30" customHeight="1">
      <c r="A2851" s="6">
        <v>2849</v>
      </c>
      <c r="B2851" s="6" t="s">
        <v>1138</v>
      </c>
      <c r="C2851" s="6" t="s">
        <v>555</v>
      </c>
      <c r="D2851" s="6" t="s">
        <v>1139</v>
      </c>
      <c r="E2851" s="6" t="s">
        <v>32</v>
      </c>
    </row>
    <row r="2852" spans="1:5" ht="30" customHeight="1">
      <c r="A2852" s="6">
        <v>2850</v>
      </c>
      <c r="B2852" s="6" t="s">
        <v>1140</v>
      </c>
      <c r="C2852" s="6" t="s">
        <v>555</v>
      </c>
      <c r="D2852" s="6" t="s">
        <v>1141</v>
      </c>
      <c r="E2852" s="6" t="s">
        <v>32</v>
      </c>
    </row>
    <row r="2853" spans="1:5" ht="30" customHeight="1">
      <c r="A2853" s="6">
        <v>2851</v>
      </c>
      <c r="B2853" s="6" t="s">
        <v>1142</v>
      </c>
      <c r="C2853" s="6" t="s">
        <v>555</v>
      </c>
      <c r="D2853" s="6" t="s">
        <v>1143</v>
      </c>
      <c r="E2853" s="6" t="s">
        <v>32</v>
      </c>
    </row>
    <row r="2854" spans="1:5" ht="30" customHeight="1">
      <c r="A2854" s="6">
        <v>2852</v>
      </c>
      <c r="B2854" s="6" t="s">
        <v>1144</v>
      </c>
      <c r="C2854" s="6" t="s">
        <v>555</v>
      </c>
      <c r="D2854" s="6" t="s">
        <v>1145</v>
      </c>
      <c r="E2854" s="6" t="s">
        <v>32</v>
      </c>
    </row>
    <row r="2855" spans="1:5" ht="30" customHeight="1">
      <c r="A2855" s="6">
        <v>2853</v>
      </c>
      <c r="B2855" s="6" t="s">
        <v>1146</v>
      </c>
      <c r="C2855" s="6" t="s">
        <v>555</v>
      </c>
      <c r="D2855" s="6" t="s">
        <v>1147</v>
      </c>
      <c r="E2855" s="6" t="s">
        <v>32</v>
      </c>
    </row>
    <row r="2856" spans="1:5" ht="30" customHeight="1">
      <c r="A2856" s="6">
        <v>2854</v>
      </c>
      <c r="B2856" s="6" t="s">
        <v>1148</v>
      </c>
      <c r="C2856" s="6" t="s">
        <v>555</v>
      </c>
      <c r="D2856" s="6" t="s">
        <v>1149</v>
      </c>
      <c r="E2856" s="6" t="s">
        <v>32</v>
      </c>
    </row>
    <row r="2857" spans="1:5" ht="30" customHeight="1">
      <c r="A2857" s="6">
        <v>2855</v>
      </c>
      <c r="B2857" s="6" t="s">
        <v>1150</v>
      </c>
      <c r="C2857" s="6" t="s">
        <v>555</v>
      </c>
      <c r="D2857" s="6" t="s">
        <v>1151</v>
      </c>
      <c r="E2857" s="6" t="s">
        <v>32</v>
      </c>
    </row>
    <row r="2858" spans="1:5" ht="30" customHeight="1">
      <c r="A2858" s="6">
        <v>2856</v>
      </c>
      <c r="B2858" s="6" t="s">
        <v>1152</v>
      </c>
      <c r="C2858" s="6" t="s">
        <v>555</v>
      </c>
      <c r="D2858" s="6" t="s">
        <v>1153</v>
      </c>
      <c r="E2858" s="6" t="s">
        <v>32</v>
      </c>
    </row>
    <row r="2859" spans="1:5" ht="30" customHeight="1">
      <c r="A2859" s="6">
        <v>2857</v>
      </c>
      <c r="B2859" s="6" t="s">
        <v>1154</v>
      </c>
      <c r="C2859" s="6" t="s">
        <v>555</v>
      </c>
      <c r="D2859" s="6" t="s">
        <v>1155</v>
      </c>
      <c r="E2859" s="6" t="s">
        <v>32</v>
      </c>
    </row>
    <row r="2860" spans="1:5" ht="30" customHeight="1">
      <c r="A2860" s="6">
        <v>2858</v>
      </c>
      <c r="B2860" s="6" t="s">
        <v>1156</v>
      </c>
      <c r="C2860" s="6" t="s">
        <v>555</v>
      </c>
      <c r="D2860" s="6" t="s">
        <v>1157</v>
      </c>
      <c r="E2860" s="6" t="s">
        <v>32</v>
      </c>
    </row>
    <row r="2861" spans="1:5" ht="30" customHeight="1">
      <c r="A2861" s="6">
        <v>2859</v>
      </c>
      <c r="B2861" s="6" t="s">
        <v>1158</v>
      </c>
      <c r="C2861" s="6" t="s">
        <v>555</v>
      </c>
      <c r="D2861" s="6" t="s">
        <v>1159</v>
      </c>
      <c r="E2861" s="6" t="s">
        <v>32</v>
      </c>
    </row>
    <row r="2862" spans="1:5" ht="30" customHeight="1">
      <c r="A2862" s="6">
        <v>2860</v>
      </c>
      <c r="B2862" s="6" t="s">
        <v>1160</v>
      </c>
      <c r="C2862" s="6" t="s">
        <v>555</v>
      </c>
      <c r="D2862" s="6" t="s">
        <v>1161</v>
      </c>
      <c r="E2862" s="6" t="s">
        <v>32</v>
      </c>
    </row>
    <row r="2863" spans="1:5" ht="30" customHeight="1">
      <c r="A2863" s="6">
        <v>2861</v>
      </c>
      <c r="B2863" s="6" t="s">
        <v>1162</v>
      </c>
      <c r="C2863" s="6" t="s">
        <v>555</v>
      </c>
      <c r="D2863" s="6" t="s">
        <v>1163</v>
      </c>
      <c r="E2863" s="6" t="s">
        <v>32</v>
      </c>
    </row>
    <row r="2864" spans="1:5" ht="30" customHeight="1">
      <c r="A2864" s="6">
        <v>2862</v>
      </c>
      <c r="B2864" s="6" t="s">
        <v>1164</v>
      </c>
      <c r="C2864" s="6" t="s">
        <v>555</v>
      </c>
      <c r="D2864" s="6" t="s">
        <v>1165</v>
      </c>
      <c r="E2864" s="6" t="s">
        <v>32</v>
      </c>
    </row>
    <row r="2865" spans="1:5" ht="30" customHeight="1">
      <c r="A2865" s="6">
        <v>2863</v>
      </c>
      <c r="B2865" s="6" t="s">
        <v>1166</v>
      </c>
      <c r="C2865" s="6" t="s">
        <v>555</v>
      </c>
      <c r="D2865" s="6" t="s">
        <v>1167</v>
      </c>
      <c r="E2865" s="6" t="s">
        <v>32</v>
      </c>
    </row>
    <row r="2866" spans="1:5" ht="30" customHeight="1">
      <c r="A2866" s="6">
        <v>2864</v>
      </c>
      <c r="B2866" s="6" t="s">
        <v>1168</v>
      </c>
      <c r="C2866" s="6" t="s">
        <v>555</v>
      </c>
      <c r="D2866" s="6" t="s">
        <v>1169</v>
      </c>
      <c r="E2866" s="6" t="s">
        <v>32</v>
      </c>
    </row>
    <row r="2867" spans="1:5" ht="30" customHeight="1">
      <c r="A2867" s="6">
        <v>2865</v>
      </c>
      <c r="B2867" s="6" t="s">
        <v>1170</v>
      </c>
      <c r="C2867" s="6" t="s">
        <v>555</v>
      </c>
      <c r="D2867" s="6" t="s">
        <v>1171</v>
      </c>
      <c r="E2867" s="6" t="s">
        <v>32</v>
      </c>
    </row>
    <row r="2868" spans="1:5" ht="30" customHeight="1">
      <c r="A2868" s="6">
        <v>2866</v>
      </c>
      <c r="B2868" s="6" t="s">
        <v>1172</v>
      </c>
      <c r="C2868" s="6" t="s">
        <v>555</v>
      </c>
      <c r="D2868" s="6" t="s">
        <v>1173</v>
      </c>
      <c r="E2868" s="6" t="s">
        <v>32</v>
      </c>
    </row>
    <row r="2869" spans="1:5" ht="30" customHeight="1">
      <c r="A2869" s="6">
        <v>2867</v>
      </c>
      <c r="B2869" s="6" t="s">
        <v>1174</v>
      </c>
      <c r="C2869" s="6" t="s">
        <v>555</v>
      </c>
      <c r="D2869" s="6" t="s">
        <v>1175</v>
      </c>
      <c r="E2869" s="6" t="s">
        <v>32</v>
      </c>
    </row>
    <row r="2870" spans="1:5" ht="30" customHeight="1">
      <c r="A2870" s="6">
        <v>2868</v>
      </c>
      <c r="B2870" s="6" t="s">
        <v>1176</v>
      </c>
      <c r="C2870" s="6" t="s">
        <v>555</v>
      </c>
      <c r="D2870" s="6" t="s">
        <v>1177</v>
      </c>
      <c r="E2870" s="6" t="s">
        <v>32</v>
      </c>
    </row>
    <row r="2871" spans="1:5" ht="30" customHeight="1">
      <c r="A2871" s="6">
        <v>2869</v>
      </c>
      <c r="B2871" s="6" t="s">
        <v>1178</v>
      </c>
      <c r="C2871" s="6" t="s">
        <v>555</v>
      </c>
      <c r="D2871" s="6" t="s">
        <v>1179</v>
      </c>
      <c r="E2871" s="6" t="s">
        <v>32</v>
      </c>
    </row>
    <row r="2872" spans="1:5" ht="30" customHeight="1">
      <c r="A2872" s="6">
        <v>2870</v>
      </c>
      <c r="B2872" s="6" t="s">
        <v>1180</v>
      </c>
      <c r="C2872" s="6" t="s">
        <v>555</v>
      </c>
      <c r="D2872" s="6" t="s">
        <v>1181</v>
      </c>
      <c r="E2872" s="6" t="s">
        <v>32</v>
      </c>
    </row>
    <row r="2873" spans="1:5" ht="30" customHeight="1">
      <c r="A2873" s="6">
        <v>2871</v>
      </c>
      <c r="B2873" s="6" t="s">
        <v>1182</v>
      </c>
      <c r="C2873" s="6" t="s">
        <v>555</v>
      </c>
      <c r="D2873" s="6" t="s">
        <v>1183</v>
      </c>
      <c r="E2873" s="6" t="s">
        <v>32</v>
      </c>
    </row>
    <row r="2874" spans="1:5" ht="30" customHeight="1">
      <c r="A2874" s="6">
        <v>2872</v>
      </c>
      <c r="B2874" s="6" t="s">
        <v>1184</v>
      </c>
      <c r="C2874" s="6" t="s">
        <v>555</v>
      </c>
      <c r="D2874" s="6" t="s">
        <v>1185</v>
      </c>
      <c r="E2874" s="6" t="s">
        <v>32</v>
      </c>
    </row>
    <row r="2875" spans="1:5" ht="30" customHeight="1">
      <c r="A2875" s="6">
        <v>2873</v>
      </c>
      <c r="B2875" s="6" t="s">
        <v>1186</v>
      </c>
      <c r="C2875" s="6" t="s">
        <v>555</v>
      </c>
      <c r="D2875" s="6" t="s">
        <v>1187</v>
      </c>
      <c r="E2875" s="6" t="s">
        <v>32</v>
      </c>
    </row>
    <row r="2876" spans="1:5" ht="30" customHeight="1">
      <c r="A2876" s="6">
        <v>2874</v>
      </c>
      <c r="B2876" s="6" t="s">
        <v>1188</v>
      </c>
      <c r="C2876" s="6" t="s">
        <v>555</v>
      </c>
      <c r="D2876" s="6" t="s">
        <v>1189</v>
      </c>
      <c r="E2876" s="6" t="s">
        <v>32</v>
      </c>
    </row>
    <row r="2877" spans="1:5" ht="30" customHeight="1">
      <c r="A2877" s="6">
        <v>2875</v>
      </c>
      <c r="B2877" s="6" t="s">
        <v>1190</v>
      </c>
      <c r="C2877" s="6" t="s">
        <v>555</v>
      </c>
      <c r="D2877" s="6" t="s">
        <v>1191</v>
      </c>
      <c r="E2877" s="6" t="s">
        <v>32</v>
      </c>
    </row>
    <row r="2878" spans="1:5" ht="30" customHeight="1">
      <c r="A2878" s="6">
        <v>2876</v>
      </c>
      <c r="B2878" s="6" t="s">
        <v>1192</v>
      </c>
      <c r="C2878" s="6" t="s">
        <v>555</v>
      </c>
      <c r="D2878" s="6" t="s">
        <v>1193</v>
      </c>
      <c r="E2878" s="6" t="s">
        <v>32</v>
      </c>
    </row>
    <row r="2879" spans="1:5" ht="30" customHeight="1">
      <c r="A2879" s="6">
        <v>2877</v>
      </c>
      <c r="B2879" s="6" t="s">
        <v>1194</v>
      </c>
      <c r="C2879" s="6" t="s">
        <v>555</v>
      </c>
      <c r="D2879" s="6" t="s">
        <v>1195</v>
      </c>
      <c r="E2879" s="6" t="s">
        <v>32</v>
      </c>
    </row>
    <row r="2880" spans="1:5" ht="30" customHeight="1">
      <c r="A2880" s="6">
        <v>2878</v>
      </c>
      <c r="B2880" s="6" t="s">
        <v>1196</v>
      </c>
      <c r="C2880" s="6" t="s">
        <v>555</v>
      </c>
      <c r="D2880" s="6" t="s">
        <v>1197</v>
      </c>
      <c r="E2880" s="6" t="s">
        <v>32</v>
      </c>
    </row>
    <row r="2881" spans="1:5" ht="30" customHeight="1">
      <c r="A2881" s="6">
        <v>2879</v>
      </c>
      <c r="B2881" s="6" t="s">
        <v>1198</v>
      </c>
      <c r="C2881" s="6" t="s">
        <v>555</v>
      </c>
      <c r="D2881" s="6" t="s">
        <v>1199</v>
      </c>
      <c r="E2881" s="6" t="s">
        <v>32</v>
      </c>
    </row>
    <row r="2882" spans="1:5" ht="30" customHeight="1">
      <c r="A2882" s="6">
        <v>2880</v>
      </c>
      <c r="B2882" s="6" t="s">
        <v>1200</v>
      </c>
      <c r="C2882" s="6" t="s">
        <v>555</v>
      </c>
      <c r="D2882" s="6" t="s">
        <v>1201</v>
      </c>
      <c r="E2882" s="6" t="s">
        <v>32</v>
      </c>
    </row>
    <row r="2883" spans="1:5" ht="30" customHeight="1">
      <c r="A2883" s="6">
        <v>2881</v>
      </c>
      <c r="B2883" s="6" t="s">
        <v>1202</v>
      </c>
      <c r="C2883" s="6" t="s">
        <v>555</v>
      </c>
      <c r="D2883" s="6" t="s">
        <v>1203</v>
      </c>
      <c r="E2883" s="6" t="s">
        <v>32</v>
      </c>
    </row>
    <row r="2884" spans="1:5" ht="30" customHeight="1">
      <c r="A2884" s="6">
        <v>2882</v>
      </c>
      <c r="B2884" s="6" t="s">
        <v>1204</v>
      </c>
      <c r="C2884" s="6" t="s">
        <v>555</v>
      </c>
      <c r="D2884" s="6" t="s">
        <v>1205</v>
      </c>
      <c r="E2884" s="6" t="s">
        <v>32</v>
      </c>
    </row>
    <row r="2885" spans="1:5" ht="30" customHeight="1">
      <c r="A2885" s="6">
        <v>2883</v>
      </c>
      <c r="B2885" s="6" t="s">
        <v>1206</v>
      </c>
      <c r="C2885" s="6" t="s">
        <v>555</v>
      </c>
      <c r="D2885" s="6" t="s">
        <v>1207</v>
      </c>
      <c r="E2885" s="6" t="s">
        <v>32</v>
      </c>
    </row>
    <row r="2886" spans="1:5" ht="30" customHeight="1">
      <c r="A2886" s="6">
        <v>2884</v>
      </c>
      <c r="B2886" s="6" t="s">
        <v>1208</v>
      </c>
      <c r="C2886" s="6" t="s">
        <v>555</v>
      </c>
      <c r="D2886" s="6" t="s">
        <v>1209</v>
      </c>
      <c r="E2886" s="6" t="s">
        <v>32</v>
      </c>
    </row>
    <row r="2887" spans="1:5" ht="30" customHeight="1">
      <c r="A2887" s="6">
        <v>2885</v>
      </c>
      <c r="B2887" s="6" t="s">
        <v>1210</v>
      </c>
      <c r="C2887" s="6" t="s">
        <v>555</v>
      </c>
      <c r="D2887" s="6" t="s">
        <v>1211</v>
      </c>
      <c r="E2887" s="6" t="s">
        <v>32</v>
      </c>
    </row>
    <row r="2888" spans="1:5" ht="30" customHeight="1">
      <c r="A2888" s="6">
        <v>2886</v>
      </c>
      <c r="B2888" s="6" t="s">
        <v>1212</v>
      </c>
      <c r="C2888" s="6" t="s">
        <v>555</v>
      </c>
      <c r="D2888" s="6" t="s">
        <v>1213</v>
      </c>
      <c r="E2888" s="6" t="s">
        <v>32</v>
      </c>
    </row>
    <row r="2889" spans="1:5" ht="30" customHeight="1">
      <c r="A2889" s="6">
        <v>2887</v>
      </c>
      <c r="B2889" s="6" t="s">
        <v>1214</v>
      </c>
      <c r="C2889" s="6" t="s">
        <v>555</v>
      </c>
      <c r="D2889" s="6" t="s">
        <v>1215</v>
      </c>
      <c r="E2889" s="6" t="s">
        <v>32</v>
      </c>
    </row>
    <row r="2890" spans="1:5" ht="30" customHeight="1">
      <c r="A2890" s="6">
        <v>2888</v>
      </c>
      <c r="B2890" s="6" t="s">
        <v>1216</v>
      </c>
      <c r="C2890" s="6" t="s">
        <v>555</v>
      </c>
      <c r="D2890" s="6" t="s">
        <v>1217</v>
      </c>
      <c r="E2890" s="6" t="s">
        <v>15</v>
      </c>
    </row>
    <row r="2891" spans="1:5" ht="30" customHeight="1">
      <c r="A2891" s="6">
        <v>2889</v>
      </c>
      <c r="B2891" s="6" t="s">
        <v>1218</v>
      </c>
      <c r="C2891" s="6" t="s">
        <v>555</v>
      </c>
      <c r="D2891" s="6" t="s">
        <v>1219</v>
      </c>
      <c r="E2891" s="6" t="s">
        <v>32</v>
      </c>
    </row>
    <row r="2892" spans="1:5" ht="30" customHeight="1">
      <c r="A2892" s="6">
        <v>2890</v>
      </c>
      <c r="B2892" s="6" t="s">
        <v>1220</v>
      </c>
      <c r="C2892" s="6" t="s">
        <v>555</v>
      </c>
      <c r="D2892" s="6" t="s">
        <v>1221</v>
      </c>
      <c r="E2892" s="6" t="s">
        <v>32</v>
      </c>
    </row>
    <row r="2893" spans="1:5" ht="30" customHeight="1">
      <c r="A2893" s="6">
        <v>2891</v>
      </c>
      <c r="B2893" s="6" t="s">
        <v>1222</v>
      </c>
      <c r="C2893" s="6" t="s">
        <v>555</v>
      </c>
      <c r="D2893" s="6" t="s">
        <v>1223</v>
      </c>
      <c r="E2893" s="6" t="s">
        <v>32</v>
      </c>
    </row>
    <row r="2894" spans="1:5" ht="30" customHeight="1">
      <c r="A2894" s="6">
        <v>2892</v>
      </c>
      <c r="B2894" s="6" t="s">
        <v>1224</v>
      </c>
      <c r="C2894" s="6" t="s">
        <v>555</v>
      </c>
      <c r="D2894" s="6" t="s">
        <v>1225</v>
      </c>
      <c r="E2894" s="6" t="s">
        <v>32</v>
      </c>
    </row>
    <row r="2895" spans="1:5" ht="30" customHeight="1">
      <c r="A2895" s="6">
        <v>2893</v>
      </c>
      <c r="B2895" s="6" t="s">
        <v>1226</v>
      </c>
      <c r="C2895" s="6" t="s">
        <v>555</v>
      </c>
      <c r="D2895" s="6" t="s">
        <v>1227</v>
      </c>
      <c r="E2895" s="6" t="s">
        <v>32</v>
      </c>
    </row>
    <row r="2896" spans="1:5" ht="30" customHeight="1">
      <c r="A2896" s="6">
        <v>2894</v>
      </c>
      <c r="B2896" s="6" t="s">
        <v>1228</v>
      </c>
      <c r="C2896" s="6" t="s">
        <v>555</v>
      </c>
      <c r="D2896" s="6" t="s">
        <v>1229</v>
      </c>
      <c r="E2896" s="6" t="s">
        <v>32</v>
      </c>
    </row>
    <row r="2897" spans="1:5" ht="30" customHeight="1">
      <c r="A2897" s="6">
        <v>2895</v>
      </c>
      <c r="B2897" s="6" t="s">
        <v>1230</v>
      </c>
      <c r="C2897" s="6" t="s">
        <v>555</v>
      </c>
      <c r="D2897" s="6" t="s">
        <v>1231</v>
      </c>
      <c r="E2897" s="6" t="s">
        <v>32</v>
      </c>
    </row>
    <row r="2898" spans="1:5" ht="30" customHeight="1">
      <c r="A2898" s="6">
        <v>2896</v>
      </c>
      <c r="B2898" s="6" t="s">
        <v>1232</v>
      </c>
      <c r="C2898" s="6" t="s">
        <v>555</v>
      </c>
      <c r="D2898" s="6" t="s">
        <v>1233</v>
      </c>
      <c r="E2898" s="6" t="s">
        <v>32</v>
      </c>
    </row>
    <row r="2899" spans="1:5" ht="30" customHeight="1">
      <c r="A2899" s="6">
        <v>2897</v>
      </c>
      <c r="B2899" s="6" t="s">
        <v>1234</v>
      </c>
      <c r="C2899" s="6" t="s">
        <v>555</v>
      </c>
      <c r="D2899" s="6" t="s">
        <v>1235</v>
      </c>
      <c r="E2899" s="6" t="s">
        <v>32</v>
      </c>
    </row>
    <row r="2900" spans="1:5" ht="30" customHeight="1">
      <c r="A2900" s="6">
        <v>2898</v>
      </c>
      <c r="B2900" s="6" t="s">
        <v>1236</v>
      </c>
      <c r="C2900" s="6" t="s">
        <v>555</v>
      </c>
      <c r="D2900" s="6" t="s">
        <v>1237</v>
      </c>
      <c r="E2900" s="6" t="s">
        <v>32</v>
      </c>
    </row>
    <row r="2901" spans="1:5" ht="30" customHeight="1">
      <c r="A2901" s="6">
        <v>2899</v>
      </c>
      <c r="B2901" s="6" t="s">
        <v>1238</v>
      </c>
      <c r="C2901" s="6" t="s">
        <v>555</v>
      </c>
      <c r="D2901" s="6" t="s">
        <v>1239</v>
      </c>
      <c r="E2901" s="6" t="s">
        <v>32</v>
      </c>
    </row>
    <row r="2902" spans="1:5" ht="30" customHeight="1">
      <c r="A2902" s="6">
        <v>2900</v>
      </c>
      <c r="B2902" s="6" t="s">
        <v>1240</v>
      </c>
      <c r="C2902" s="6" t="s">
        <v>555</v>
      </c>
      <c r="D2902" s="6" t="s">
        <v>1241</v>
      </c>
      <c r="E2902" s="6" t="s">
        <v>32</v>
      </c>
    </row>
    <row r="2903" spans="1:5" ht="30" customHeight="1">
      <c r="A2903" s="6">
        <v>2901</v>
      </c>
      <c r="B2903" s="6" t="s">
        <v>1242</v>
      </c>
      <c r="C2903" s="6" t="s">
        <v>555</v>
      </c>
      <c r="D2903" s="6" t="s">
        <v>1243</v>
      </c>
      <c r="E2903" s="6" t="s">
        <v>32</v>
      </c>
    </row>
    <row r="2904" spans="1:5" ht="30" customHeight="1">
      <c r="A2904" s="6">
        <v>2902</v>
      </c>
      <c r="B2904" s="6" t="s">
        <v>1244</v>
      </c>
      <c r="C2904" s="6" t="s">
        <v>555</v>
      </c>
      <c r="D2904" s="6" t="s">
        <v>1245</v>
      </c>
      <c r="E2904" s="6" t="s">
        <v>32</v>
      </c>
    </row>
    <row r="2905" spans="1:5" ht="30" customHeight="1">
      <c r="A2905" s="6">
        <v>2903</v>
      </c>
      <c r="B2905" s="6" t="s">
        <v>1246</v>
      </c>
      <c r="C2905" s="6" t="s">
        <v>555</v>
      </c>
      <c r="D2905" s="6" t="s">
        <v>1247</v>
      </c>
      <c r="E2905" s="6" t="s">
        <v>32</v>
      </c>
    </row>
    <row r="2906" spans="1:5" ht="30" customHeight="1">
      <c r="A2906" s="6">
        <v>2904</v>
      </c>
      <c r="B2906" s="6" t="s">
        <v>1248</v>
      </c>
      <c r="C2906" s="6" t="s">
        <v>555</v>
      </c>
      <c r="D2906" s="6" t="s">
        <v>1249</v>
      </c>
      <c r="E2906" s="6" t="s">
        <v>32</v>
      </c>
    </row>
    <row r="2907" spans="1:5" ht="30" customHeight="1">
      <c r="A2907" s="6">
        <v>2905</v>
      </c>
      <c r="B2907" s="6" t="s">
        <v>1250</v>
      </c>
      <c r="C2907" s="6" t="s">
        <v>555</v>
      </c>
      <c r="D2907" s="6" t="s">
        <v>1251</v>
      </c>
      <c r="E2907" s="6" t="s">
        <v>32</v>
      </c>
    </row>
    <row r="2908" spans="1:5" ht="30" customHeight="1">
      <c r="A2908" s="6">
        <v>2906</v>
      </c>
      <c r="B2908" s="6" t="s">
        <v>1252</v>
      </c>
      <c r="C2908" s="6" t="s">
        <v>555</v>
      </c>
      <c r="D2908" s="6" t="s">
        <v>1253</v>
      </c>
      <c r="E2908" s="6" t="s">
        <v>32</v>
      </c>
    </row>
    <row r="2909" spans="1:5" ht="30" customHeight="1">
      <c r="A2909" s="6">
        <v>2907</v>
      </c>
      <c r="B2909" s="6" t="s">
        <v>1254</v>
      </c>
      <c r="C2909" s="6" t="s">
        <v>555</v>
      </c>
      <c r="D2909" s="6" t="s">
        <v>1255</v>
      </c>
      <c r="E2909" s="6" t="s">
        <v>32</v>
      </c>
    </row>
    <row r="2910" spans="1:5" ht="30" customHeight="1">
      <c r="A2910" s="6">
        <v>2908</v>
      </c>
      <c r="B2910" s="6" t="s">
        <v>1256</v>
      </c>
      <c r="C2910" s="6" t="s">
        <v>555</v>
      </c>
      <c r="D2910" s="6" t="s">
        <v>1257</v>
      </c>
      <c r="E2910" s="6" t="s">
        <v>32</v>
      </c>
    </row>
    <row r="2911" spans="1:5" ht="30" customHeight="1">
      <c r="A2911" s="6">
        <v>2909</v>
      </c>
      <c r="B2911" s="6" t="s">
        <v>1258</v>
      </c>
      <c r="C2911" s="6" t="s">
        <v>555</v>
      </c>
      <c r="D2911" s="6" t="s">
        <v>1259</v>
      </c>
      <c r="E2911" s="6" t="s">
        <v>32</v>
      </c>
    </row>
    <row r="2912" spans="1:5" ht="30" customHeight="1">
      <c r="A2912" s="6">
        <v>2910</v>
      </c>
      <c r="B2912" s="6" t="s">
        <v>1260</v>
      </c>
      <c r="C2912" s="6" t="s">
        <v>555</v>
      </c>
      <c r="D2912" s="6" t="s">
        <v>1261</v>
      </c>
      <c r="E2912" s="6" t="s">
        <v>32</v>
      </c>
    </row>
    <row r="2913" spans="1:5" ht="30" customHeight="1">
      <c r="A2913" s="6">
        <v>2911</v>
      </c>
      <c r="B2913" s="6" t="s">
        <v>1262</v>
      </c>
      <c r="C2913" s="6" t="s">
        <v>555</v>
      </c>
      <c r="D2913" s="6" t="s">
        <v>1263</v>
      </c>
      <c r="E2913" s="6" t="s">
        <v>32</v>
      </c>
    </row>
    <row r="2914" spans="1:5" ht="30" customHeight="1">
      <c r="A2914" s="6">
        <v>2912</v>
      </c>
      <c r="B2914" s="6" t="s">
        <v>1264</v>
      </c>
      <c r="C2914" s="6" t="s">
        <v>555</v>
      </c>
      <c r="D2914" s="6" t="s">
        <v>1265</v>
      </c>
      <c r="E2914" s="6" t="s">
        <v>32</v>
      </c>
    </row>
    <row r="2915" spans="1:5" ht="30" customHeight="1">
      <c r="A2915" s="6">
        <v>2913</v>
      </c>
      <c r="B2915" s="6" t="s">
        <v>1266</v>
      </c>
      <c r="C2915" s="6" t="s">
        <v>555</v>
      </c>
      <c r="D2915" s="6" t="s">
        <v>1267</v>
      </c>
      <c r="E2915" s="6" t="s">
        <v>32</v>
      </c>
    </row>
    <row r="2916" spans="1:5" ht="30" customHeight="1">
      <c r="A2916" s="6">
        <v>2914</v>
      </c>
      <c r="B2916" s="6" t="s">
        <v>1268</v>
      </c>
      <c r="C2916" s="6" t="s">
        <v>555</v>
      </c>
      <c r="D2916" s="6" t="s">
        <v>1269</v>
      </c>
      <c r="E2916" s="6" t="s">
        <v>32</v>
      </c>
    </row>
    <row r="2917" spans="1:5" ht="30" customHeight="1">
      <c r="A2917" s="6">
        <v>2915</v>
      </c>
      <c r="B2917" s="6" t="s">
        <v>1270</v>
      </c>
      <c r="C2917" s="6" t="s">
        <v>555</v>
      </c>
      <c r="D2917" s="6" t="s">
        <v>1271</v>
      </c>
      <c r="E2917" s="6" t="s">
        <v>32</v>
      </c>
    </row>
    <row r="2918" spans="1:5" ht="30" customHeight="1">
      <c r="A2918" s="6">
        <v>2916</v>
      </c>
      <c r="B2918" s="6" t="s">
        <v>1272</v>
      </c>
      <c r="C2918" s="6" t="s">
        <v>555</v>
      </c>
      <c r="D2918" s="6" t="s">
        <v>1273</v>
      </c>
      <c r="E2918" s="6" t="s">
        <v>32</v>
      </c>
    </row>
    <row r="2919" spans="1:5" ht="30" customHeight="1">
      <c r="A2919" s="6">
        <v>2917</v>
      </c>
      <c r="B2919" s="6" t="s">
        <v>1274</v>
      </c>
      <c r="C2919" s="6" t="s">
        <v>555</v>
      </c>
      <c r="D2919" s="6" t="s">
        <v>1275</v>
      </c>
      <c r="E2919" s="6" t="s">
        <v>32</v>
      </c>
    </row>
    <row r="2920" spans="1:5" ht="30" customHeight="1">
      <c r="A2920" s="6">
        <v>2918</v>
      </c>
      <c r="B2920" s="6" t="s">
        <v>1276</v>
      </c>
      <c r="C2920" s="6" t="s">
        <v>555</v>
      </c>
      <c r="D2920" s="6" t="s">
        <v>1277</v>
      </c>
      <c r="E2920" s="6" t="s">
        <v>32</v>
      </c>
    </row>
    <row r="2921" spans="1:5" ht="30" customHeight="1">
      <c r="A2921" s="6">
        <v>2919</v>
      </c>
      <c r="B2921" s="6" t="s">
        <v>1278</v>
      </c>
      <c r="C2921" s="6" t="s">
        <v>555</v>
      </c>
      <c r="D2921" s="6" t="s">
        <v>423</v>
      </c>
      <c r="E2921" s="6" t="s">
        <v>32</v>
      </c>
    </row>
    <row r="2922" spans="1:5" ht="30" customHeight="1">
      <c r="A2922" s="6">
        <v>2920</v>
      </c>
      <c r="B2922" s="6" t="s">
        <v>1279</v>
      </c>
      <c r="C2922" s="6" t="s">
        <v>555</v>
      </c>
      <c r="D2922" s="6" t="s">
        <v>1280</v>
      </c>
      <c r="E2922" s="6" t="s">
        <v>32</v>
      </c>
    </row>
    <row r="2923" spans="1:5" ht="30" customHeight="1">
      <c r="A2923" s="6">
        <v>2921</v>
      </c>
      <c r="B2923" s="6" t="s">
        <v>1281</v>
      </c>
      <c r="C2923" s="6" t="s">
        <v>555</v>
      </c>
      <c r="D2923" s="6" t="s">
        <v>1282</v>
      </c>
      <c r="E2923" s="6" t="s">
        <v>32</v>
      </c>
    </row>
    <row r="2924" spans="1:5" ht="30" customHeight="1">
      <c r="A2924" s="6">
        <v>2922</v>
      </c>
      <c r="B2924" s="6" t="s">
        <v>1283</v>
      </c>
      <c r="C2924" s="6" t="s">
        <v>555</v>
      </c>
      <c r="D2924" s="6" t="s">
        <v>1284</v>
      </c>
      <c r="E2924" s="6" t="s">
        <v>32</v>
      </c>
    </row>
    <row r="2925" spans="1:5" ht="30" customHeight="1">
      <c r="A2925" s="6">
        <v>2923</v>
      </c>
      <c r="B2925" s="6" t="s">
        <v>1285</v>
      </c>
      <c r="C2925" s="6" t="s">
        <v>555</v>
      </c>
      <c r="D2925" s="6" t="s">
        <v>1149</v>
      </c>
      <c r="E2925" s="6" t="s">
        <v>32</v>
      </c>
    </row>
    <row r="2926" spans="1:5" ht="30" customHeight="1">
      <c r="A2926" s="6">
        <v>2924</v>
      </c>
      <c r="B2926" s="6" t="s">
        <v>1286</v>
      </c>
      <c r="C2926" s="6" t="s">
        <v>555</v>
      </c>
      <c r="D2926" s="6" t="s">
        <v>1287</v>
      </c>
      <c r="E2926" s="6" t="s">
        <v>32</v>
      </c>
    </row>
    <row r="2927" spans="1:5" ht="30" customHeight="1">
      <c r="A2927" s="6">
        <v>2925</v>
      </c>
      <c r="B2927" s="6" t="s">
        <v>1288</v>
      </c>
      <c r="C2927" s="6" t="s">
        <v>555</v>
      </c>
      <c r="D2927" s="6" t="s">
        <v>1289</v>
      </c>
      <c r="E2927" s="6" t="s">
        <v>32</v>
      </c>
    </row>
    <row r="2928" spans="1:5" ht="30" customHeight="1">
      <c r="A2928" s="6">
        <v>2926</v>
      </c>
      <c r="B2928" s="6" t="s">
        <v>1290</v>
      </c>
      <c r="C2928" s="6" t="s">
        <v>555</v>
      </c>
      <c r="D2928" s="6" t="s">
        <v>1291</v>
      </c>
      <c r="E2928" s="6" t="s">
        <v>32</v>
      </c>
    </row>
    <row r="2929" spans="1:5" ht="30" customHeight="1">
      <c r="A2929" s="6">
        <v>2927</v>
      </c>
      <c r="B2929" s="6" t="s">
        <v>1292</v>
      </c>
      <c r="C2929" s="6" t="s">
        <v>555</v>
      </c>
      <c r="D2929" s="6" t="s">
        <v>1293</v>
      </c>
      <c r="E2929" s="6" t="s">
        <v>15</v>
      </c>
    </row>
    <row r="2930" spans="1:5" ht="30" customHeight="1">
      <c r="A2930" s="6">
        <v>2928</v>
      </c>
      <c r="B2930" s="6" t="s">
        <v>1294</v>
      </c>
      <c r="C2930" s="6" t="s">
        <v>555</v>
      </c>
      <c r="D2930" s="6" t="s">
        <v>1295</v>
      </c>
      <c r="E2930" s="6" t="s">
        <v>32</v>
      </c>
    </row>
    <row r="2931" spans="1:5" ht="30" customHeight="1">
      <c r="A2931" s="6">
        <v>2929</v>
      </c>
      <c r="B2931" s="6" t="s">
        <v>1296</v>
      </c>
      <c r="C2931" s="6" t="s">
        <v>555</v>
      </c>
      <c r="D2931" s="6" t="s">
        <v>1297</v>
      </c>
      <c r="E2931" s="6" t="s">
        <v>32</v>
      </c>
    </row>
    <row r="2932" spans="1:5" ht="30" customHeight="1">
      <c r="A2932" s="6">
        <v>2930</v>
      </c>
      <c r="B2932" s="6" t="s">
        <v>1298</v>
      </c>
      <c r="C2932" s="6" t="s">
        <v>555</v>
      </c>
      <c r="D2932" s="6" t="s">
        <v>1299</v>
      </c>
      <c r="E2932" s="6" t="s">
        <v>32</v>
      </c>
    </row>
    <row r="2933" spans="1:5" ht="30" customHeight="1">
      <c r="A2933" s="6">
        <v>2931</v>
      </c>
      <c r="B2933" s="6" t="s">
        <v>1300</v>
      </c>
      <c r="C2933" s="6" t="s">
        <v>555</v>
      </c>
      <c r="D2933" s="6" t="s">
        <v>1301</v>
      </c>
      <c r="E2933" s="6" t="s">
        <v>32</v>
      </c>
    </row>
    <row r="2934" spans="1:5" ht="30" customHeight="1">
      <c r="A2934" s="6">
        <v>2932</v>
      </c>
      <c r="B2934" s="6" t="s">
        <v>1302</v>
      </c>
      <c r="C2934" s="6" t="s">
        <v>555</v>
      </c>
      <c r="D2934" s="6" t="s">
        <v>1303</v>
      </c>
      <c r="E2934" s="6" t="s">
        <v>32</v>
      </c>
    </row>
    <row r="2935" spans="1:5" ht="30" customHeight="1">
      <c r="A2935" s="6">
        <v>2933</v>
      </c>
      <c r="B2935" s="6" t="s">
        <v>1304</v>
      </c>
      <c r="C2935" s="6" t="s">
        <v>555</v>
      </c>
      <c r="D2935" s="6" t="s">
        <v>1305</v>
      </c>
      <c r="E2935" s="6" t="s">
        <v>32</v>
      </c>
    </row>
    <row r="2936" spans="1:5" ht="30" customHeight="1">
      <c r="A2936" s="6">
        <v>2934</v>
      </c>
      <c r="B2936" s="6" t="s">
        <v>1306</v>
      </c>
      <c r="C2936" s="6" t="s">
        <v>555</v>
      </c>
      <c r="D2936" s="6" t="s">
        <v>1307</v>
      </c>
      <c r="E2936" s="6" t="s">
        <v>32</v>
      </c>
    </row>
    <row r="2937" spans="1:5" ht="30" customHeight="1">
      <c r="A2937" s="6">
        <v>2935</v>
      </c>
      <c r="B2937" s="6" t="s">
        <v>1308</v>
      </c>
      <c r="C2937" s="6" t="s">
        <v>555</v>
      </c>
      <c r="D2937" s="6" t="s">
        <v>1309</v>
      </c>
      <c r="E2937" s="6" t="s">
        <v>32</v>
      </c>
    </row>
    <row r="2938" spans="1:5" ht="30" customHeight="1">
      <c r="A2938" s="6">
        <v>2936</v>
      </c>
      <c r="B2938" s="6" t="s">
        <v>1310</v>
      </c>
      <c r="C2938" s="6" t="s">
        <v>555</v>
      </c>
      <c r="D2938" s="6" t="s">
        <v>1311</v>
      </c>
      <c r="E2938" s="6" t="s">
        <v>32</v>
      </c>
    </row>
    <row r="2939" spans="1:5" ht="30" customHeight="1">
      <c r="A2939" s="6">
        <v>2937</v>
      </c>
      <c r="B2939" s="6" t="s">
        <v>1312</v>
      </c>
      <c r="C2939" s="6" t="s">
        <v>555</v>
      </c>
      <c r="D2939" s="6" t="s">
        <v>1313</v>
      </c>
      <c r="E2939" s="6" t="s">
        <v>32</v>
      </c>
    </row>
    <row r="2940" spans="1:5" ht="30" customHeight="1">
      <c r="A2940" s="6">
        <v>2938</v>
      </c>
      <c r="B2940" s="6" t="s">
        <v>1314</v>
      </c>
      <c r="C2940" s="6" t="s">
        <v>555</v>
      </c>
      <c r="D2940" s="6" t="s">
        <v>1315</v>
      </c>
      <c r="E2940" s="6" t="s">
        <v>32</v>
      </c>
    </row>
    <row r="2941" spans="1:5" ht="30" customHeight="1">
      <c r="A2941" s="6">
        <v>2939</v>
      </c>
      <c r="B2941" s="6" t="s">
        <v>1316</v>
      </c>
      <c r="C2941" s="6" t="s">
        <v>555</v>
      </c>
      <c r="D2941" s="6" t="s">
        <v>1317</v>
      </c>
      <c r="E2941" s="6" t="s">
        <v>32</v>
      </c>
    </row>
    <row r="2942" spans="1:5" ht="30" customHeight="1">
      <c r="A2942" s="6">
        <v>2940</v>
      </c>
      <c r="B2942" s="6" t="s">
        <v>1318</v>
      </c>
      <c r="C2942" s="6" t="s">
        <v>555</v>
      </c>
      <c r="D2942" s="6" t="s">
        <v>1319</v>
      </c>
      <c r="E2942" s="6" t="s">
        <v>32</v>
      </c>
    </row>
    <row r="2943" spans="1:5" ht="30" customHeight="1">
      <c r="A2943" s="6">
        <v>2941</v>
      </c>
      <c r="B2943" s="6" t="s">
        <v>1320</v>
      </c>
      <c r="C2943" s="6" t="s">
        <v>555</v>
      </c>
      <c r="D2943" s="6" t="s">
        <v>1321</v>
      </c>
      <c r="E2943" s="6" t="s">
        <v>32</v>
      </c>
    </row>
    <row r="2944" spans="1:5" ht="30" customHeight="1">
      <c r="A2944" s="6">
        <v>2942</v>
      </c>
      <c r="B2944" s="6" t="s">
        <v>1322</v>
      </c>
      <c r="C2944" s="6" t="s">
        <v>555</v>
      </c>
      <c r="D2944" s="6" t="s">
        <v>1323</v>
      </c>
      <c r="E2944" s="6" t="s">
        <v>32</v>
      </c>
    </row>
    <row r="2945" spans="1:5" ht="30" customHeight="1">
      <c r="A2945" s="6">
        <v>2943</v>
      </c>
      <c r="B2945" s="6" t="s">
        <v>1324</v>
      </c>
      <c r="C2945" s="6" t="s">
        <v>555</v>
      </c>
      <c r="D2945" s="6" t="s">
        <v>1325</v>
      </c>
      <c r="E2945" s="6" t="s">
        <v>32</v>
      </c>
    </row>
    <row r="2946" spans="1:5" ht="30" customHeight="1">
      <c r="A2946" s="6">
        <v>2944</v>
      </c>
      <c r="B2946" s="6" t="s">
        <v>1326</v>
      </c>
      <c r="C2946" s="6" t="s">
        <v>555</v>
      </c>
      <c r="D2946" s="6" t="s">
        <v>1327</v>
      </c>
      <c r="E2946" s="6" t="s">
        <v>32</v>
      </c>
    </row>
    <row r="2947" spans="1:5" ht="30" customHeight="1">
      <c r="A2947" s="6">
        <v>2945</v>
      </c>
      <c r="B2947" s="6" t="s">
        <v>1328</v>
      </c>
      <c r="C2947" s="6" t="s">
        <v>555</v>
      </c>
      <c r="D2947" s="6" t="s">
        <v>264</v>
      </c>
      <c r="E2947" s="6" t="s">
        <v>32</v>
      </c>
    </row>
    <row r="2948" spans="1:5" ht="30" customHeight="1">
      <c r="A2948" s="6">
        <v>2946</v>
      </c>
      <c r="B2948" s="6" t="s">
        <v>1329</v>
      </c>
      <c r="C2948" s="6" t="s">
        <v>555</v>
      </c>
      <c r="D2948" s="6" t="s">
        <v>1330</v>
      </c>
      <c r="E2948" s="6" t="s">
        <v>32</v>
      </c>
    </row>
    <row r="2949" spans="1:5" ht="30" customHeight="1">
      <c r="A2949" s="6">
        <v>2947</v>
      </c>
      <c r="B2949" s="6" t="s">
        <v>1331</v>
      </c>
      <c r="C2949" s="6" t="s">
        <v>555</v>
      </c>
      <c r="D2949" s="6" t="s">
        <v>1332</v>
      </c>
      <c r="E2949" s="6" t="s">
        <v>32</v>
      </c>
    </row>
    <row r="2950" spans="1:5" ht="30" customHeight="1">
      <c r="A2950" s="6">
        <v>2948</v>
      </c>
      <c r="B2950" s="6" t="s">
        <v>1333</v>
      </c>
      <c r="C2950" s="6" t="s">
        <v>555</v>
      </c>
      <c r="D2950" s="6" t="s">
        <v>1334</v>
      </c>
      <c r="E2950" s="6" t="s">
        <v>32</v>
      </c>
    </row>
    <row r="2951" spans="1:5" ht="30" customHeight="1">
      <c r="A2951" s="6">
        <v>2949</v>
      </c>
      <c r="B2951" s="6" t="s">
        <v>1335</v>
      </c>
      <c r="C2951" s="6" t="s">
        <v>555</v>
      </c>
      <c r="D2951" s="6" t="s">
        <v>1336</v>
      </c>
      <c r="E2951" s="6" t="s">
        <v>32</v>
      </c>
    </row>
    <row r="2952" spans="1:5" ht="30" customHeight="1">
      <c r="A2952" s="6">
        <v>2950</v>
      </c>
      <c r="B2952" s="6" t="s">
        <v>1337</v>
      </c>
      <c r="C2952" s="6" t="s">
        <v>555</v>
      </c>
      <c r="D2952" s="6" t="s">
        <v>1338</v>
      </c>
      <c r="E2952" s="6" t="s">
        <v>32</v>
      </c>
    </row>
    <row r="2953" spans="1:5" ht="30" customHeight="1">
      <c r="A2953" s="6">
        <v>2951</v>
      </c>
      <c r="B2953" s="6" t="s">
        <v>1339</v>
      </c>
      <c r="C2953" s="6" t="s">
        <v>555</v>
      </c>
      <c r="D2953" s="6" t="s">
        <v>1340</v>
      </c>
      <c r="E2953" s="6" t="s">
        <v>32</v>
      </c>
    </row>
    <row r="2954" spans="1:5" ht="30" customHeight="1">
      <c r="A2954" s="6">
        <v>2952</v>
      </c>
      <c r="B2954" s="6" t="s">
        <v>1341</v>
      </c>
      <c r="C2954" s="6" t="s">
        <v>555</v>
      </c>
      <c r="D2954" s="6" t="s">
        <v>1342</v>
      </c>
      <c r="E2954" s="6" t="s">
        <v>32</v>
      </c>
    </row>
    <row r="2955" spans="1:5" ht="30" customHeight="1">
      <c r="A2955" s="6">
        <v>2953</v>
      </c>
      <c r="B2955" s="6" t="s">
        <v>1343</v>
      </c>
      <c r="C2955" s="6" t="s">
        <v>555</v>
      </c>
      <c r="D2955" s="6" t="s">
        <v>1344</v>
      </c>
      <c r="E2955" s="6" t="s">
        <v>32</v>
      </c>
    </row>
    <row r="2956" spans="1:5" ht="30" customHeight="1">
      <c r="A2956" s="6">
        <v>2954</v>
      </c>
      <c r="B2956" s="6" t="s">
        <v>1345</v>
      </c>
      <c r="C2956" s="6" t="s">
        <v>555</v>
      </c>
      <c r="D2956" s="6" t="s">
        <v>1346</v>
      </c>
      <c r="E2956" s="6" t="s">
        <v>32</v>
      </c>
    </row>
    <row r="2957" spans="1:5" ht="30" customHeight="1">
      <c r="A2957" s="6">
        <v>2955</v>
      </c>
      <c r="B2957" s="6" t="s">
        <v>1347</v>
      </c>
      <c r="C2957" s="6" t="s">
        <v>555</v>
      </c>
      <c r="D2957" s="6" t="s">
        <v>1348</v>
      </c>
      <c r="E2957" s="6" t="s">
        <v>32</v>
      </c>
    </row>
    <row r="2958" spans="1:5" ht="30" customHeight="1">
      <c r="A2958" s="6">
        <v>2956</v>
      </c>
      <c r="B2958" s="6" t="s">
        <v>1349</v>
      </c>
      <c r="C2958" s="6" t="s">
        <v>555</v>
      </c>
      <c r="D2958" s="6" t="s">
        <v>1350</v>
      </c>
      <c r="E2958" s="6" t="s">
        <v>32</v>
      </c>
    </row>
    <row r="2959" spans="1:5" ht="30" customHeight="1">
      <c r="A2959" s="6">
        <v>2957</v>
      </c>
      <c r="B2959" s="6" t="s">
        <v>1351</v>
      </c>
      <c r="C2959" s="6" t="s">
        <v>555</v>
      </c>
      <c r="D2959" s="6" t="s">
        <v>1352</v>
      </c>
      <c r="E2959" s="6" t="s">
        <v>32</v>
      </c>
    </row>
    <row r="2960" spans="1:5" ht="30" customHeight="1">
      <c r="A2960" s="6">
        <v>2958</v>
      </c>
      <c r="B2960" s="6" t="s">
        <v>1353</v>
      </c>
      <c r="C2960" s="6" t="s">
        <v>555</v>
      </c>
      <c r="D2960" s="6" t="s">
        <v>1354</v>
      </c>
      <c r="E2960" s="6" t="s">
        <v>32</v>
      </c>
    </row>
    <row r="2961" spans="1:5" ht="30" customHeight="1">
      <c r="A2961" s="6">
        <v>2959</v>
      </c>
      <c r="B2961" s="6" t="s">
        <v>1355</v>
      </c>
      <c r="C2961" s="6" t="s">
        <v>555</v>
      </c>
      <c r="D2961" s="6" t="s">
        <v>1356</v>
      </c>
      <c r="E2961" s="6" t="s">
        <v>32</v>
      </c>
    </row>
    <row r="2962" spans="1:5" ht="30" customHeight="1">
      <c r="A2962" s="6">
        <v>2960</v>
      </c>
      <c r="B2962" s="6" t="s">
        <v>1357</v>
      </c>
      <c r="C2962" s="6" t="s">
        <v>555</v>
      </c>
      <c r="D2962" s="6" t="s">
        <v>1358</v>
      </c>
      <c r="E2962" s="6" t="s">
        <v>32</v>
      </c>
    </row>
    <row r="2963" spans="1:5" ht="30" customHeight="1">
      <c r="A2963" s="6">
        <v>2961</v>
      </c>
      <c r="B2963" s="6" t="s">
        <v>1359</v>
      </c>
      <c r="C2963" s="6" t="s">
        <v>555</v>
      </c>
      <c r="D2963" s="6" t="s">
        <v>1360</v>
      </c>
      <c r="E2963" s="6" t="s">
        <v>32</v>
      </c>
    </row>
    <row r="2964" spans="1:5" ht="30" customHeight="1">
      <c r="A2964" s="6">
        <v>2962</v>
      </c>
      <c r="B2964" s="6" t="s">
        <v>1361</v>
      </c>
      <c r="C2964" s="6" t="s">
        <v>555</v>
      </c>
      <c r="D2964" s="6" t="s">
        <v>1362</v>
      </c>
      <c r="E2964" s="6" t="s">
        <v>32</v>
      </c>
    </row>
    <row r="2965" spans="1:5" ht="30" customHeight="1">
      <c r="A2965" s="6">
        <v>2963</v>
      </c>
      <c r="B2965" s="6" t="s">
        <v>1363</v>
      </c>
      <c r="C2965" s="6" t="s">
        <v>555</v>
      </c>
      <c r="D2965" s="6" t="s">
        <v>1364</v>
      </c>
      <c r="E2965" s="6" t="s">
        <v>15</v>
      </c>
    </row>
    <row r="2966" spans="1:5" ht="30" customHeight="1">
      <c r="A2966" s="6">
        <v>2964</v>
      </c>
      <c r="B2966" s="6" t="s">
        <v>1365</v>
      </c>
      <c r="C2966" s="6" t="s">
        <v>555</v>
      </c>
      <c r="D2966" s="6" t="s">
        <v>1366</v>
      </c>
      <c r="E2966" s="6" t="s">
        <v>32</v>
      </c>
    </row>
    <row r="2967" spans="1:5" ht="30" customHeight="1">
      <c r="A2967" s="6">
        <v>2965</v>
      </c>
      <c r="B2967" s="6" t="s">
        <v>1367</v>
      </c>
      <c r="C2967" s="6" t="s">
        <v>555</v>
      </c>
      <c r="D2967" s="6" t="s">
        <v>1368</v>
      </c>
      <c r="E2967" s="6" t="s">
        <v>32</v>
      </c>
    </row>
    <row r="2968" spans="1:5" ht="30" customHeight="1">
      <c r="A2968" s="6">
        <v>2966</v>
      </c>
      <c r="B2968" s="6" t="s">
        <v>1369</v>
      </c>
      <c r="C2968" s="6" t="s">
        <v>555</v>
      </c>
      <c r="D2968" s="6" t="s">
        <v>1370</v>
      </c>
      <c r="E2968" s="6" t="s">
        <v>32</v>
      </c>
    </row>
    <row r="2969" spans="1:5" ht="30" customHeight="1">
      <c r="A2969" s="6">
        <v>2967</v>
      </c>
      <c r="B2969" s="6" t="s">
        <v>1371</v>
      </c>
      <c r="C2969" s="6" t="s">
        <v>555</v>
      </c>
      <c r="D2969" s="6" t="s">
        <v>1372</v>
      </c>
      <c r="E2969" s="6" t="s">
        <v>32</v>
      </c>
    </row>
    <row r="2970" spans="1:5" ht="30" customHeight="1">
      <c r="A2970" s="6">
        <v>2968</v>
      </c>
      <c r="B2970" s="6" t="s">
        <v>1373</v>
      </c>
      <c r="C2970" s="6" t="s">
        <v>555</v>
      </c>
      <c r="D2970" s="6" t="s">
        <v>1374</v>
      </c>
      <c r="E2970" s="6" t="s">
        <v>32</v>
      </c>
    </row>
    <row r="2971" spans="1:5" ht="30" customHeight="1">
      <c r="A2971" s="6">
        <v>2969</v>
      </c>
      <c r="B2971" s="6" t="s">
        <v>1375</v>
      </c>
      <c r="C2971" s="6" t="s">
        <v>555</v>
      </c>
      <c r="D2971" s="6" t="s">
        <v>1376</v>
      </c>
      <c r="E2971" s="6" t="s">
        <v>32</v>
      </c>
    </row>
    <row r="2972" spans="1:5" ht="30" customHeight="1">
      <c r="A2972" s="6">
        <v>2970</v>
      </c>
      <c r="B2972" s="6" t="s">
        <v>1377</v>
      </c>
      <c r="C2972" s="6" t="s">
        <v>555</v>
      </c>
      <c r="D2972" s="6" t="s">
        <v>1378</v>
      </c>
      <c r="E2972" s="6" t="s">
        <v>32</v>
      </c>
    </row>
    <row r="2973" spans="1:5" ht="30" customHeight="1">
      <c r="A2973" s="6">
        <v>2971</v>
      </c>
      <c r="B2973" s="6" t="s">
        <v>1379</v>
      </c>
      <c r="C2973" s="6" t="s">
        <v>555</v>
      </c>
      <c r="D2973" s="6" t="s">
        <v>1380</v>
      </c>
      <c r="E2973" s="6" t="s">
        <v>32</v>
      </c>
    </row>
    <row r="2974" spans="1:5" ht="30" customHeight="1">
      <c r="A2974" s="6">
        <v>2972</v>
      </c>
      <c r="B2974" s="6" t="s">
        <v>1381</v>
      </c>
      <c r="C2974" s="6" t="s">
        <v>555</v>
      </c>
      <c r="D2974" s="6" t="s">
        <v>1382</v>
      </c>
      <c r="E2974" s="6" t="s">
        <v>32</v>
      </c>
    </row>
    <row r="2975" spans="1:5" ht="30" customHeight="1">
      <c r="A2975" s="6">
        <v>2973</v>
      </c>
      <c r="B2975" s="6" t="s">
        <v>1383</v>
      </c>
      <c r="C2975" s="6" t="s">
        <v>555</v>
      </c>
      <c r="D2975" s="6" t="s">
        <v>1384</v>
      </c>
      <c r="E2975" s="6" t="s">
        <v>32</v>
      </c>
    </row>
    <row r="2976" spans="1:5" ht="30" customHeight="1">
      <c r="A2976" s="6">
        <v>2974</v>
      </c>
      <c r="B2976" s="6" t="s">
        <v>1385</v>
      </c>
      <c r="C2976" s="6" t="s">
        <v>555</v>
      </c>
      <c r="D2976" s="6" t="s">
        <v>1386</v>
      </c>
      <c r="E2976" s="6" t="s">
        <v>32</v>
      </c>
    </row>
    <row r="2977" spans="1:5" ht="30" customHeight="1">
      <c r="A2977" s="6">
        <v>2975</v>
      </c>
      <c r="B2977" s="6" t="s">
        <v>1387</v>
      </c>
      <c r="C2977" s="6" t="s">
        <v>555</v>
      </c>
      <c r="D2977" s="6" t="s">
        <v>1388</v>
      </c>
      <c r="E2977" s="6" t="s">
        <v>32</v>
      </c>
    </row>
    <row r="2978" spans="1:5" ht="30" customHeight="1">
      <c r="A2978" s="6">
        <v>2976</v>
      </c>
      <c r="B2978" s="6" t="s">
        <v>1389</v>
      </c>
      <c r="C2978" s="6" t="s">
        <v>555</v>
      </c>
      <c r="D2978" s="6" t="s">
        <v>1390</v>
      </c>
      <c r="E2978" s="6" t="s">
        <v>32</v>
      </c>
    </row>
    <row r="2979" spans="1:5" ht="30" customHeight="1">
      <c r="A2979" s="6">
        <v>2977</v>
      </c>
      <c r="B2979" s="6" t="s">
        <v>1391</v>
      </c>
      <c r="C2979" s="6" t="s">
        <v>555</v>
      </c>
      <c r="D2979" s="6" t="s">
        <v>1392</v>
      </c>
      <c r="E2979" s="6" t="s">
        <v>32</v>
      </c>
    </row>
    <row r="2980" spans="1:5" ht="30" customHeight="1">
      <c r="A2980" s="6">
        <v>2978</v>
      </c>
      <c r="B2980" s="6" t="s">
        <v>1393</v>
      </c>
      <c r="C2980" s="6" t="s">
        <v>555</v>
      </c>
      <c r="D2980" s="6" t="s">
        <v>1394</v>
      </c>
      <c r="E2980" s="6" t="s">
        <v>32</v>
      </c>
    </row>
    <row r="2981" spans="1:5" ht="30" customHeight="1">
      <c r="A2981" s="6">
        <v>2979</v>
      </c>
      <c r="B2981" s="6" t="s">
        <v>1395</v>
      </c>
      <c r="C2981" s="6" t="s">
        <v>555</v>
      </c>
      <c r="D2981" s="6" t="s">
        <v>1396</v>
      </c>
      <c r="E2981" s="6" t="s">
        <v>32</v>
      </c>
    </row>
    <row r="2982" spans="1:5" ht="30" customHeight="1">
      <c r="A2982" s="6">
        <v>2980</v>
      </c>
      <c r="B2982" s="6" t="s">
        <v>1397</v>
      </c>
      <c r="C2982" s="6" t="s">
        <v>555</v>
      </c>
      <c r="D2982" s="6" t="s">
        <v>1398</v>
      </c>
      <c r="E2982" s="6" t="s">
        <v>32</v>
      </c>
    </row>
    <row r="2983" spans="1:5" ht="30" customHeight="1">
      <c r="A2983" s="6">
        <v>2981</v>
      </c>
      <c r="B2983" s="6" t="s">
        <v>1399</v>
      </c>
      <c r="C2983" s="6" t="s">
        <v>555</v>
      </c>
      <c r="D2983" s="6" t="s">
        <v>1400</v>
      </c>
      <c r="E2983" s="6" t="s">
        <v>32</v>
      </c>
    </row>
    <row r="2984" spans="1:5" ht="30" customHeight="1">
      <c r="A2984" s="6">
        <v>2982</v>
      </c>
      <c r="B2984" s="6" t="s">
        <v>1401</v>
      </c>
      <c r="C2984" s="6" t="s">
        <v>555</v>
      </c>
      <c r="D2984" s="6" t="s">
        <v>1402</v>
      </c>
      <c r="E2984" s="6" t="s">
        <v>32</v>
      </c>
    </row>
    <row r="2985" spans="1:5" ht="30" customHeight="1">
      <c r="A2985" s="6">
        <v>2983</v>
      </c>
      <c r="B2985" s="6" t="s">
        <v>1403</v>
      </c>
      <c r="C2985" s="6" t="s">
        <v>555</v>
      </c>
      <c r="D2985" s="6" t="s">
        <v>1404</v>
      </c>
      <c r="E2985" s="6" t="s">
        <v>32</v>
      </c>
    </row>
    <row r="2986" spans="1:5" ht="30" customHeight="1">
      <c r="A2986" s="6">
        <v>2984</v>
      </c>
      <c r="B2986" s="6" t="s">
        <v>1405</v>
      </c>
      <c r="C2986" s="6" t="s">
        <v>555</v>
      </c>
      <c r="D2986" s="6" t="s">
        <v>1406</v>
      </c>
      <c r="E2986" s="6" t="s">
        <v>32</v>
      </c>
    </row>
    <row r="2987" spans="1:5" ht="30" customHeight="1">
      <c r="A2987" s="6">
        <v>2985</v>
      </c>
      <c r="B2987" s="6" t="s">
        <v>1407</v>
      </c>
      <c r="C2987" s="6" t="s">
        <v>555</v>
      </c>
      <c r="D2987" s="6" t="s">
        <v>1408</v>
      </c>
      <c r="E2987" s="6" t="s">
        <v>15</v>
      </c>
    </row>
    <row r="2988" spans="1:5" ht="30" customHeight="1">
      <c r="A2988" s="6">
        <v>2986</v>
      </c>
      <c r="B2988" s="6" t="s">
        <v>1409</v>
      </c>
      <c r="C2988" s="6" t="s">
        <v>555</v>
      </c>
      <c r="D2988" s="6" t="s">
        <v>1410</v>
      </c>
      <c r="E2988" s="6" t="s">
        <v>32</v>
      </c>
    </row>
    <row r="2989" spans="1:5" ht="30" customHeight="1">
      <c r="A2989" s="6">
        <v>2987</v>
      </c>
      <c r="B2989" s="6" t="s">
        <v>1411</v>
      </c>
      <c r="C2989" s="6" t="s">
        <v>555</v>
      </c>
      <c r="D2989" s="6" t="s">
        <v>1412</v>
      </c>
      <c r="E2989" s="6" t="s">
        <v>32</v>
      </c>
    </row>
    <row r="2990" spans="1:5" ht="30" customHeight="1">
      <c r="A2990" s="6">
        <v>2988</v>
      </c>
      <c r="B2990" s="6" t="s">
        <v>1413</v>
      </c>
      <c r="C2990" s="6" t="s">
        <v>555</v>
      </c>
      <c r="D2990" s="6" t="s">
        <v>1414</v>
      </c>
      <c r="E2990" s="6" t="s">
        <v>32</v>
      </c>
    </row>
    <row r="2991" spans="1:5" ht="30" customHeight="1">
      <c r="A2991" s="6">
        <v>2989</v>
      </c>
      <c r="B2991" s="6" t="s">
        <v>1415</v>
      </c>
      <c r="C2991" s="6" t="s">
        <v>555</v>
      </c>
      <c r="D2991" s="6" t="s">
        <v>1416</v>
      </c>
      <c r="E2991" s="6" t="s">
        <v>32</v>
      </c>
    </row>
    <row r="2992" spans="1:5" ht="30" customHeight="1">
      <c r="A2992" s="6">
        <v>2990</v>
      </c>
      <c r="B2992" s="6" t="s">
        <v>1417</v>
      </c>
      <c r="C2992" s="6" t="s">
        <v>555</v>
      </c>
      <c r="D2992" s="6" t="s">
        <v>1418</v>
      </c>
      <c r="E2992" s="6" t="s">
        <v>32</v>
      </c>
    </row>
    <row r="2993" spans="1:5" ht="30" customHeight="1">
      <c r="A2993" s="6">
        <v>2991</v>
      </c>
      <c r="B2993" s="6" t="s">
        <v>1419</v>
      </c>
      <c r="C2993" s="6" t="s">
        <v>555</v>
      </c>
      <c r="D2993" s="6" t="s">
        <v>1420</v>
      </c>
      <c r="E2993" s="6" t="s">
        <v>32</v>
      </c>
    </row>
    <row r="2994" spans="1:5" ht="30" customHeight="1">
      <c r="A2994" s="6">
        <v>2992</v>
      </c>
      <c r="B2994" s="6" t="s">
        <v>1421</v>
      </c>
      <c r="C2994" s="6" t="s">
        <v>555</v>
      </c>
      <c r="D2994" s="6" t="s">
        <v>1422</v>
      </c>
      <c r="E2994" s="6" t="s">
        <v>32</v>
      </c>
    </row>
    <row r="2995" spans="1:5" ht="30" customHeight="1">
      <c r="A2995" s="6">
        <v>2993</v>
      </c>
      <c r="B2995" s="6" t="s">
        <v>1423</v>
      </c>
      <c r="C2995" s="6" t="s">
        <v>555</v>
      </c>
      <c r="D2995" s="6" t="s">
        <v>1424</v>
      </c>
      <c r="E2995" s="6" t="s">
        <v>32</v>
      </c>
    </row>
    <row r="2996" spans="1:5" ht="30" customHeight="1">
      <c r="A2996" s="6">
        <v>2994</v>
      </c>
      <c r="B2996" s="6" t="s">
        <v>1425</v>
      </c>
      <c r="C2996" s="6" t="s">
        <v>555</v>
      </c>
      <c r="D2996" s="6" t="s">
        <v>1426</v>
      </c>
      <c r="E2996" s="6" t="s">
        <v>32</v>
      </c>
    </row>
    <row r="2997" spans="1:5" ht="30" customHeight="1">
      <c r="A2997" s="6">
        <v>2995</v>
      </c>
      <c r="B2997" s="6" t="s">
        <v>1427</v>
      </c>
      <c r="C2997" s="6" t="s">
        <v>555</v>
      </c>
      <c r="D2997" s="6" t="s">
        <v>1428</v>
      </c>
      <c r="E2997" s="6" t="s">
        <v>32</v>
      </c>
    </row>
    <row r="2998" spans="1:5" ht="30" customHeight="1">
      <c r="A2998" s="6">
        <v>2996</v>
      </c>
      <c r="B2998" s="6" t="s">
        <v>1429</v>
      </c>
      <c r="C2998" s="6" t="s">
        <v>555</v>
      </c>
      <c r="D2998" s="6" t="s">
        <v>1430</v>
      </c>
      <c r="E2998" s="6" t="s">
        <v>32</v>
      </c>
    </row>
    <row r="2999" spans="1:5" ht="30" customHeight="1">
      <c r="A2999" s="6">
        <v>2997</v>
      </c>
      <c r="B2999" s="6" t="s">
        <v>1431</v>
      </c>
      <c r="C2999" s="6" t="s">
        <v>555</v>
      </c>
      <c r="D2999" s="6" t="s">
        <v>1432</v>
      </c>
      <c r="E2999" s="6" t="s">
        <v>32</v>
      </c>
    </row>
    <row r="3000" spans="1:5" ht="30" customHeight="1">
      <c r="A3000" s="6">
        <v>2998</v>
      </c>
      <c r="B3000" s="6" t="s">
        <v>1433</v>
      </c>
      <c r="C3000" s="6" t="s">
        <v>555</v>
      </c>
      <c r="D3000" s="6" t="s">
        <v>1434</v>
      </c>
      <c r="E3000" s="6" t="s">
        <v>32</v>
      </c>
    </row>
    <row r="3001" spans="1:5" ht="30" customHeight="1">
      <c r="A3001" s="6">
        <v>2999</v>
      </c>
      <c r="B3001" s="6" t="s">
        <v>1435</v>
      </c>
      <c r="C3001" s="6" t="s">
        <v>555</v>
      </c>
      <c r="D3001" s="6" t="s">
        <v>1436</v>
      </c>
      <c r="E3001" s="6" t="s">
        <v>32</v>
      </c>
    </row>
    <row r="3002" spans="1:5" ht="30" customHeight="1">
      <c r="A3002" s="6">
        <v>3000</v>
      </c>
      <c r="B3002" s="6" t="s">
        <v>1437</v>
      </c>
      <c r="C3002" s="6" t="s">
        <v>555</v>
      </c>
      <c r="D3002" s="6" t="s">
        <v>1438</v>
      </c>
      <c r="E3002" s="6" t="s">
        <v>32</v>
      </c>
    </row>
    <row r="3003" spans="1:5" ht="30" customHeight="1">
      <c r="A3003" s="6">
        <v>3001</v>
      </c>
      <c r="B3003" s="6" t="s">
        <v>1439</v>
      </c>
      <c r="C3003" s="6" t="s">
        <v>555</v>
      </c>
      <c r="D3003" s="6" t="s">
        <v>1440</v>
      </c>
      <c r="E3003" s="6" t="s">
        <v>32</v>
      </c>
    </row>
    <row r="3004" spans="1:5" ht="30" customHeight="1">
      <c r="A3004" s="6">
        <v>3002</v>
      </c>
      <c r="B3004" s="6" t="s">
        <v>1441</v>
      </c>
      <c r="C3004" s="6" t="s">
        <v>555</v>
      </c>
      <c r="D3004" s="6" t="s">
        <v>1442</v>
      </c>
      <c r="E3004" s="6" t="s">
        <v>32</v>
      </c>
    </row>
    <row r="3005" spans="1:5" ht="30" customHeight="1">
      <c r="A3005" s="6">
        <v>3003</v>
      </c>
      <c r="B3005" s="6" t="s">
        <v>1443</v>
      </c>
      <c r="C3005" s="6" t="s">
        <v>555</v>
      </c>
      <c r="D3005" s="6" t="s">
        <v>1444</v>
      </c>
      <c r="E3005" s="6" t="s">
        <v>32</v>
      </c>
    </row>
    <row r="3006" spans="1:5" ht="30" customHeight="1">
      <c r="A3006" s="6">
        <v>3004</v>
      </c>
      <c r="B3006" s="6" t="s">
        <v>1445</v>
      </c>
      <c r="C3006" s="6" t="s">
        <v>555</v>
      </c>
      <c r="D3006" s="6" t="s">
        <v>1446</v>
      </c>
      <c r="E3006" s="6" t="s">
        <v>32</v>
      </c>
    </row>
    <row r="3007" spans="1:5" ht="30" customHeight="1">
      <c r="A3007" s="6">
        <v>3005</v>
      </c>
      <c r="B3007" s="6" t="s">
        <v>1447</v>
      </c>
      <c r="C3007" s="6" t="s">
        <v>555</v>
      </c>
      <c r="D3007" s="6" t="s">
        <v>1448</v>
      </c>
      <c r="E3007" s="6" t="s">
        <v>32</v>
      </c>
    </row>
    <row r="3008" spans="1:5" ht="30" customHeight="1">
      <c r="A3008" s="6">
        <v>3006</v>
      </c>
      <c r="B3008" s="6" t="s">
        <v>1449</v>
      </c>
      <c r="C3008" s="6" t="s">
        <v>555</v>
      </c>
      <c r="D3008" s="6" t="s">
        <v>1450</v>
      </c>
      <c r="E3008" s="6" t="s">
        <v>32</v>
      </c>
    </row>
    <row r="3009" spans="1:5" ht="30" customHeight="1">
      <c r="A3009" s="6">
        <v>3007</v>
      </c>
      <c r="B3009" s="6" t="s">
        <v>1451</v>
      </c>
      <c r="C3009" s="6" t="s">
        <v>555</v>
      </c>
      <c r="D3009" s="6" t="s">
        <v>1452</v>
      </c>
      <c r="E3009" s="6" t="s">
        <v>32</v>
      </c>
    </row>
    <row r="3010" spans="1:5" ht="30" customHeight="1">
      <c r="A3010" s="6">
        <v>3008</v>
      </c>
      <c r="B3010" s="6" t="s">
        <v>1453</v>
      </c>
      <c r="C3010" s="6" t="s">
        <v>555</v>
      </c>
      <c r="D3010" s="6" t="s">
        <v>1454</v>
      </c>
      <c r="E3010" s="6" t="s">
        <v>32</v>
      </c>
    </row>
    <row r="3011" spans="1:5" ht="30" customHeight="1">
      <c r="A3011" s="6">
        <v>3009</v>
      </c>
      <c r="B3011" s="6" t="s">
        <v>1455</v>
      </c>
      <c r="C3011" s="6" t="s">
        <v>555</v>
      </c>
      <c r="D3011" s="6" t="s">
        <v>1456</v>
      </c>
      <c r="E3011" s="6" t="s">
        <v>32</v>
      </c>
    </row>
    <row r="3012" spans="1:5" ht="30" customHeight="1">
      <c r="A3012" s="6">
        <v>3010</v>
      </c>
      <c r="B3012" s="6" t="s">
        <v>1457</v>
      </c>
      <c r="C3012" s="6" t="s">
        <v>555</v>
      </c>
      <c r="D3012" s="6" t="s">
        <v>1458</v>
      </c>
      <c r="E3012" s="6" t="s">
        <v>32</v>
      </c>
    </row>
    <row r="3013" spans="1:5" ht="30" customHeight="1">
      <c r="A3013" s="6">
        <v>3011</v>
      </c>
      <c r="B3013" s="6" t="s">
        <v>1459</v>
      </c>
      <c r="C3013" s="6" t="s">
        <v>555</v>
      </c>
      <c r="D3013" s="6" t="s">
        <v>1460</v>
      </c>
      <c r="E3013" s="6" t="s">
        <v>32</v>
      </c>
    </row>
    <row r="3014" spans="1:5" ht="30" customHeight="1">
      <c r="A3014" s="6">
        <v>3012</v>
      </c>
      <c r="B3014" s="6" t="s">
        <v>1461</v>
      </c>
      <c r="C3014" s="6" t="s">
        <v>555</v>
      </c>
      <c r="D3014" s="6" t="s">
        <v>1462</v>
      </c>
      <c r="E3014" s="6" t="s">
        <v>32</v>
      </c>
    </row>
    <row r="3015" spans="1:5" ht="30" customHeight="1">
      <c r="A3015" s="6">
        <v>3013</v>
      </c>
      <c r="B3015" s="6" t="s">
        <v>1463</v>
      </c>
      <c r="C3015" s="6" t="s">
        <v>555</v>
      </c>
      <c r="D3015" s="6" t="s">
        <v>1464</v>
      </c>
      <c r="E3015" s="6" t="s">
        <v>32</v>
      </c>
    </row>
    <row r="3016" spans="1:5" ht="30" customHeight="1">
      <c r="A3016" s="6">
        <v>3014</v>
      </c>
      <c r="B3016" s="6" t="s">
        <v>1465</v>
      </c>
      <c r="C3016" s="6" t="s">
        <v>555</v>
      </c>
      <c r="D3016" s="6" t="s">
        <v>1466</v>
      </c>
      <c r="E3016" s="6" t="s">
        <v>32</v>
      </c>
    </row>
    <row r="3017" spans="1:5" ht="30" customHeight="1">
      <c r="A3017" s="6">
        <v>3015</v>
      </c>
      <c r="B3017" s="6" t="s">
        <v>1467</v>
      </c>
      <c r="C3017" s="6" t="s">
        <v>555</v>
      </c>
      <c r="D3017" s="6" t="s">
        <v>1468</v>
      </c>
      <c r="E3017" s="6" t="s">
        <v>32</v>
      </c>
    </row>
    <row r="3018" spans="1:5" ht="30" customHeight="1">
      <c r="A3018" s="6">
        <v>3016</v>
      </c>
      <c r="B3018" s="6" t="s">
        <v>1469</v>
      </c>
      <c r="C3018" s="6" t="s">
        <v>555</v>
      </c>
      <c r="D3018" s="6" t="s">
        <v>1470</v>
      </c>
      <c r="E3018" s="6" t="s">
        <v>32</v>
      </c>
    </row>
    <row r="3019" spans="1:5" ht="30" customHeight="1">
      <c r="A3019" s="6">
        <v>3017</v>
      </c>
      <c r="B3019" s="6" t="s">
        <v>1471</v>
      </c>
      <c r="C3019" s="6" t="s">
        <v>555</v>
      </c>
      <c r="D3019" s="6" t="s">
        <v>1472</v>
      </c>
      <c r="E3019" s="6" t="s">
        <v>32</v>
      </c>
    </row>
    <row r="3020" spans="1:5" ht="30" customHeight="1">
      <c r="A3020" s="6">
        <v>3018</v>
      </c>
      <c r="B3020" s="6" t="s">
        <v>1473</v>
      </c>
      <c r="C3020" s="6" t="s">
        <v>555</v>
      </c>
      <c r="D3020" s="6" t="s">
        <v>1474</v>
      </c>
      <c r="E3020" s="6" t="s">
        <v>32</v>
      </c>
    </row>
    <row r="3021" spans="1:5" ht="30" customHeight="1">
      <c r="A3021" s="6">
        <v>3019</v>
      </c>
      <c r="B3021" s="6" t="s">
        <v>1475</v>
      </c>
      <c r="C3021" s="6" t="s">
        <v>555</v>
      </c>
      <c r="D3021" s="6" t="s">
        <v>1476</v>
      </c>
      <c r="E3021" s="6" t="s">
        <v>32</v>
      </c>
    </row>
    <row r="3022" spans="1:5" ht="30" customHeight="1">
      <c r="A3022" s="6">
        <v>3020</v>
      </c>
      <c r="B3022" s="6" t="s">
        <v>1477</v>
      </c>
      <c r="C3022" s="6" t="s">
        <v>555</v>
      </c>
      <c r="D3022" s="6" t="s">
        <v>1478</v>
      </c>
      <c r="E3022" s="6" t="s">
        <v>32</v>
      </c>
    </row>
    <row r="3023" spans="1:5" ht="30" customHeight="1">
      <c r="A3023" s="6">
        <v>3021</v>
      </c>
      <c r="B3023" s="6" t="s">
        <v>1479</v>
      </c>
      <c r="C3023" s="6" t="s">
        <v>555</v>
      </c>
      <c r="D3023" s="6" t="s">
        <v>1480</v>
      </c>
      <c r="E3023" s="6" t="s">
        <v>32</v>
      </c>
    </row>
    <row r="3024" spans="1:5" ht="30" customHeight="1">
      <c r="A3024" s="6">
        <v>3022</v>
      </c>
      <c r="B3024" s="6" t="s">
        <v>1481</v>
      </c>
      <c r="C3024" s="6" t="s">
        <v>555</v>
      </c>
      <c r="D3024" s="6" t="s">
        <v>1482</v>
      </c>
      <c r="E3024" s="6" t="s">
        <v>32</v>
      </c>
    </row>
    <row r="3025" spans="1:5" ht="30" customHeight="1">
      <c r="A3025" s="6">
        <v>3023</v>
      </c>
      <c r="B3025" s="6" t="s">
        <v>1483</v>
      </c>
      <c r="C3025" s="6" t="s">
        <v>555</v>
      </c>
      <c r="D3025" s="6" t="s">
        <v>1484</v>
      </c>
      <c r="E3025" s="6" t="s">
        <v>32</v>
      </c>
    </row>
    <row r="3026" spans="1:5" ht="30" customHeight="1">
      <c r="A3026" s="6">
        <v>3024</v>
      </c>
      <c r="B3026" s="6" t="s">
        <v>1485</v>
      </c>
      <c r="C3026" s="6" t="s">
        <v>555</v>
      </c>
      <c r="D3026" s="6" t="s">
        <v>1486</v>
      </c>
      <c r="E3026" s="6" t="s">
        <v>32</v>
      </c>
    </row>
    <row r="3027" spans="1:5" ht="30" customHeight="1">
      <c r="A3027" s="6">
        <v>3025</v>
      </c>
      <c r="B3027" s="6" t="s">
        <v>1487</v>
      </c>
      <c r="C3027" s="6" t="s">
        <v>555</v>
      </c>
      <c r="D3027" s="6" t="s">
        <v>1488</v>
      </c>
      <c r="E3027" s="6" t="s">
        <v>32</v>
      </c>
    </row>
    <row r="3028" spans="1:5" ht="30" customHeight="1">
      <c r="A3028" s="6">
        <v>3026</v>
      </c>
      <c r="B3028" s="6" t="s">
        <v>1489</v>
      </c>
      <c r="C3028" s="6" t="s">
        <v>555</v>
      </c>
      <c r="D3028" s="6" t="s">
        <v>1490</v>
      </c>
      <c r="E3028" s="6" t="s">
        <v>32</v>
      </c>
    </row>
    <row r="3029" spans="1:5" ht="30" customHeight="1">
      <c r="A3029" s="6">
        <v>3027</v>
      </c>
      <c r="B3029" s="6" t="s">
        <v>1491</v>
      </c>
      <c r="C3029" s="6" t="s">
        <v>555</v>
      </c>
      <c r="D3029" s="6" t="s">
        <v>1492</v>
      </c>
      <c r="E3029" s="6" t="s">
        <v>32</v>
      </c>
    </row>
    <row r="3030" spans="1:5" ht="30" customHeight="1">
      <c r="A3030" s="6">
        <v>3028</v>
      </c>
      <c r="B3030" s="6" t="s">
        <v>1493</v>
      </c>
      <c r="C3030" s="6" t="s">
        <v>555</v>
      </c>
      <c r="D3030" s="6" t="s">
        <v>1494</v>
      </c>
      <c r="E3030" s="6" t="s">
        <v>32</v>
      </c>
    </row>
    <row r="3031" spans="1:5" ht="30" customHeight="1">
      <c r="A3031" s="6">
        <v>3029</v>
      </c>
      <c r="B3031" s="6" t="s">
        <v>1495</v>
      </c>
      <c r="C3031" s="6" t="s">
        <v>555</v>
      </c>
      <c r="D3031" s="6" t="s">
        <v>1496</v>
      </c>
      <c r="E3031" s="6" t="s">
        <v>32</v>
      </c>
    </row>
    <row r="3032" spans="1:5" ht="30" customHeight="1">
      <c r="A3032" s="6">
        <v>3030</v>
      </c>
      <c r="B3032" s="6" t="s">
        <v>1497</v>
      </c>
      <c r="C3032" s="6" t="s">
        <v>555</v>
      </c>
      <c r="D3032" s="6" t="s">
        <v>1498</v>
      </c>
      <c r="E3032" s="6" t="s">
        <v>32</v>
      </c>
    </row>
    <row r="3033" spans="1:5" ht="30" customHeight="1">
      <c r="A3033" s="6">
        <v>3031</v>
      </c>
      <c r="B3033" s="6" t="s">
        <v>1499</v>
      </c>
      <c r="C3033" s="6" t="s">
        <v>555</v>
      </c>
      <c r="D3033" s="6" t="s">
        <v>1500</v>
      </c>
      <c r="E3033" s="6" t="s">
        <v>32</v>
      </c>
    </row>
    <row r="3034" spans="1:5" ht="30" customHeight="1">
      <c r="A3034" s="6">
        <v>3032</v>
      </c>
      <c r="B3034" s="6" t="s">
        <v>1501</v>
      </c>
      <c r="C3034" s="6" t="s">
        <v>555</v>
      </c>
      <c r="D3034" s="6" t="s">
        <v>1502</v>
      </c>
      <c r="E3034" s="6" t="s">
        <v>32</v>
      </c>
    </row>
    <row r="3035" spans="1:5" ht="30" customHeight="1">
      <c r="A3035" s="6">
        <v>3033</v>
      </c>
      <c r="B3035" s="6" t="s">
        <v>1503</v>
      </c>
      <c r="C3035" s="6" t="s">
        <v>555</v>
      </c>
      <c r="D3035" s="6" t="s">
        <v>1504</v>
      </c>
      <c r="E3035" s="6" t="s">
        <v>32</v>
      </c>
    </row>
    <row r="3036" spans="1:5" ht="30" customHeight="1">
      <c r="A3036" s="6">
        <v>3034</v>
      </c>
      <c r="B3036" s="6" t="s">
        <v>1505</v>
      </c>
      <c r="C3036" s="6" t="s">
        <v>555</v>
      </c>
      <c r="D3036" s="6" t="s">
        <v>1506</v>
      </c>
      <c r="E3036" s="6" t="s">
        <v>32</v>
      </c>
    </row>
    <row r="3037" spans="1:5" ht="30" customHeight="1">
      <c r="A3037" s="6">
        <v>3035</v>
      </c>
      <c r="B3037" s="6" t="s">
        <v>1507</v>
      </c>
      <c r="C3037" s="6" t="s">
        <v>555</v>
      </c>
      <c r="D3037" s="6" t="s">
        <v>1508</v>
      </c>
      <c r="E3037" s="6" t="s">
        <v>32</v>
      </c>
    </row>
    <row r="3038" spans="1:5" ht="30" customHeight="1">
      <c r="A3038" s="6">
        <v>3036</v>
      </c>
      <c r="B3038" s="6" t="s">
        <v>1509</v>
      </c>
      <c r="C3038" s="6" t="s">
        <v>555</v>
      </c>
      <c r="D3038" s="6" t="s">
        <v>1510</v>
      </c>
      <c r="E3038" s="6" t="s">
        <v>32</v>
      </c>
    </row>
    <row r="3039" spans="1:5" ht="30" customHeight="1">
      <c r="A3039" s="6">
        <v>3037</v>
      </c>
      <c r="B3039" s="6" t="s">
        <v>1511</v>
      </c>
      <c r="C3039" s="6" t="s">
        <v>555</v>
      </c>
      <c r="D3039" s="6" t="s">
        <v>1512</v>
      </c>
      <c r="E3039" s="6" t="s">
        <v>32</v>
      </c>
    </row>
    <row r="3040" spans="1:5" ht="30" customHeight="1">
      <c r="A3040" s="6">
        <v>3038</v>
      </c>
      <c r="B3040" s="6" t="s">
        <v>1513</v>
      </c>
      <c r="C3040" s="6" t="s">
        <v>555</v>
      </c>
      <c r="D3040" s="6" t="s">
        <v>1514</v>
      </c>
      <c r="E3040" s="6" t="s">
        <v>32</v>
      </c>
    </row>
    <row r="3041" spans="1:5" ht="30" customHeight="1">
      <c r="A3041" s="6">
        <v>3039</v>
      </c>
      <c r="B3041" s="6" t="s">
        <v>1515</v>
      </c>
      <c r="C3041" s="6" t="s">
        <v>555</v>
      </c>
      <c r="D3041" s="6" t="s">
        <v>1516</v>
      </c>
      <c r="E3041" s="6" t="s">
        <v>32</v>
      </c>
    </row>
    <row r="3042" spans="1:5" ht="30" customHeight="1">
      <c r="A3042" s="6">
        <v>3040</v>
      </c>
      <c r="B3042" s="6" t="s">
        <v>1517</v>
      </c>
      <c r="C3042" s="6" t="s">
        <v>555</v>
      </c>
      <c r="D3042" s="6" t="s">
        <v>1518</v>
      </c>
      <c r="E3042" s="6" t="s">
        <v>32</v>
      </c>
    </row>
    <row r="3043" spans="1:5" ht="30" customHeight="1">
      <c r="A3043" s="6">
        <v>3041</v>
      </c>
      <c r="B3043" s="6" t="s">
        <v>1519</v>
      </c>
      <c r="C3043" s="6" t="s">
        <v>555</v>
      </c>
      <c r="D3043" s="6" t="s">
        <v>1520</v>
      </c>
      <c r="E3043" s="6" t="s">
        <v>32</v>
      </c>
    </row>
    <row r="3044" spans="1:5" ht="30" customHeight="1">
      <c r="A3044" s="6">
        <v>3042</v>
      </c>
      <c r="B3044" s="6" t="s">
        <v>1521</v>
      </c>
      <c r="C3044" s="6" t="s">
        <v>555</v>
      </c>
      <c r="D3044" s="6" t="s">
        <v>1522</v>
      </c>
      <c r="E3044" s="6" t="s">
        <v>32</v>
      </c>
    </row>
    <row r="3045" spans="1:5" ht="30" customHeight="1">
      <c r="A3045" s="6">
        <v>3043</v>
      </c>
      <c r="B3045" s="6" t="s">
        <v>1523</v>
      </c>
      <c r="C3045" s="6" t="s">
        <v>555</v>
      </c>
      <c r="D3045" s="6" t="s">
        <v>1524</v>
      </c>
      <c r="E3045" s="6" t="s">
        <v>32</v>
      </c>
    </row>
    <row r="3046" spans="1:5" ht="30" customHeight="1">
      <c r="A3046" s="6">
        <v>3044</v>
      </c>
      <c r="B3046" s="6" t="s">
        <v>1525</v>
      </c>
      <c r="C3046" s="6" t="s">
        <v>555</v>
      </c>
      <c r="D3046" s="6" t="s">
        <v>1526</v>
      </c>
      <c r="E3046" s="6" t="s">
        <v>32</v>
      </c>
    </row>
    <row r="3047" spans="1:5" ht="30" customHeight="1">
      <c r="A3047" s="6">
        <v>3045</v>
      </c>
      <c r="B3047" s="6" t="s">
        <v>1527</v>
      </c>
      <c r="C3047" s="6" t="s">
        <v>555</v>
      </c>
      <c r="D3047" s="6" t="s">
        <v>1528</v>
      </c>
      <c r="E3047" s="6" t="s">
        <v>32</v>
      </c>
    </row>
    <row r="3048" spans="1:5" ht="30" customHeight="1">
      <c r="A3048" s="6">
        <v>3046</v>
      </c>
      <c r="B3048" s="6" t="s">
        <v>1529</v>
      </c>
      <c r="C3048" s="6" t="s">
        <v>555</v>
      </c>
      <c r="D3048" s="6" t="s">
        <v>1530</v>
      </c>
      <c r="E3048" s="6" t="s">
        <v>32</v>
      </c>
    </row>
    <row r="3049" spans="1:5" ht="30" customHeight="1">
      <c r="A3049" s="6">
        <v>3047</v>
      </c>
      <c r="B3049" s="6" t="s">
        <v>1531</v>
      </c>
      <c r="C3049" s="6" t="s">
        <v>555</v>
      </c>
      <c r="D3049" s="6" t="s">
        <v>1532</v>
      </c>
      <c r="E3049" s="6" t="s">
        <v>32</v>
      </c>
    </row>
    <row r="3050" spans="1:5" ht="30" customHeight="1">
      <c r="A3050" s="6">
        <v>3048</v>
      </c>
      <c r="B3050" s="6" t="s">
        <v>1533</v>
      </c>
      <c r="C3050" s="6" t="s">
        <v>555</v>
      </c>
      <c r="D3050" s="6" t="s">
        <v>1534</v>
      </c>
      <c r="E3050" s="6" t="s">
        <v>32</v>
      </c>
    </row>
    <row r="3051" spans="1:5" ht="30" customHeight="1">
      <c r="A3051" s="6">
        <v>3049</v>
      </c>
      <c r="B3051" s="6" t="s">
        <v>1535</v>
      </c>
      <c r="C3051" s="6" t="s">
        <v>555</v>
      </c>
      <c r="D3051" s="6" t="s">
        <v>1536</v>
      </c>
      <c r="E3051" s="6" t="s">
        <v>32</v>
      </c>
    </row>
    <row r="3052" spans="1:5" ht="30" customHeight="1">
      <c r="A3052" s="6">
        <v>3050</v>
      </c>
      <c r="B3052" s="6" t="s">
        <v>1537</v>
      </c>
      <c r="C3052" s="6" t="s">
        <v>555</v>
      </c>
      <c r="D3052" s="6" t="s">
        <v>1538</v>
      </c>
      <c r="E3052" s="6" t="s">
        <v>32</v>
      </c>
    </row>
    <row r="3053" spans="1:5" ht="30" customHeight="1">
      <c r="A3053" s="6">
        <v>3051</v>
      </c>
      <c r="B3053" s="6" t="s">
        <v>1539</v>
      </c>
      <c r="C3053" s="6" t="s">
        <v>555</v>
      </c>
      <c r="D3053" s="6" t="s">
        <v>309</v>
      </c>
      <c r="E3053" s="6" t="s">
        <v>32</v>
      </c>
    </row>
    <row r="3054" spans="1:5" ht="30" customHeight="1">
      <c r="A3054" s="6">
        <v>3052</v>
      </c>
      <c r="B3054" s="6" t="s">
        <v>1540</v>
      </c>
      <c r="C3054" s="6" t="s">
        <v>555</v>
      </c>
      <c r="D3054" s="6" t="s">
        <v>1541</v>
      </c>
      <c r="E3054" s="6" t="s">
        <v>32</v>
      </c>
    </row>
    <row r="3055" spans="1:5" ht="30" customHeight="1">
      <c r="A3055" s="6">
        <v>3053</v>
      </c>
      <c r="B3055" s="6" t="s">
        <v>1542</v>
      </c>
      <c r="C3055" s="6" t="s">
        <v>555</v>
      </c>
      <c r="D3055" s="6" t="s">
        <v>1543</v>
      </c>
      <c r="E3055" s="6" t="s">
        <v>32</v>
      </c>
    </row>
    <row r="3056" spans="1:5" ht="30" customHeight="1">
      <c r="A3056" s="6">
        <v>3054</v>
      </c>
      <c r="B3056" s="6" t="s">
        <v>1544</v>
      </c>
      <c r="C3056" s="6" t="s">
        <v>555</v>
      </c>
      <c r="D3056" s="6" t="s">
        <v>1545</v>
      </c>
      <c r="E3056" s="6" t="s">
        <v>32</v>
      </c>
    </row>
    <row r="3057" spans="1:6" s="2" customFormat="1" ht="30" customHeight="1">
      <c r="A3057" s="6">
        <v>3055</v>
      </c>
      <c r="B3057" s="6" t="s">
        <v>1546</v>
      </c>
      <c r="C3057" s="6" t="s">
        <v>555</v>
      </c>
      <c r="D3057" s="6" t="s">
        <v>1547</v>
      </c>
      <c r="E3057" s="6" t="s">
        <v>32</v>
      </c>
      <c r="F3057" s="3"/>
    </row>
    <row r="3058" spans="1:6" ht="30" customHeight="1">
      <c r="A3058" s="6">
        <v>3056</v>
      </c>
      <c r="B3058" s="7" t="str">
        <f>"299420210526090951107071"</f>
        <v>299420210526090951107071</v>
      </c>
      <c r="C3058" s="7" t="s">
        <v>555</v>
      </c>
      <c r="D3058" s="7" t="str">
        <f>"马晓蕾"</f>
        <v>马晓蕾</v>
      </c>
      <c r="E3058" s="7" t="str">
        <f>"女"</f>
        <v>女</v>
      </c>
      <c r="F3058" s="2"/>
    </row>
    <row r="3059" spans="1:5" ht="30" customHeight="1">
      <c r="A3059" s="6">
        <v>3057</v>
      </c>
      <c r="B3059" s="6" t="str">
        <f>"299420210525090402104266"</f>
        <v>299420210525090402104266</v>
      </c>
      <c r="C3059" s="6" t="s">
        <v>1548</v>
      </c>
      <c r="D3059" s="6" t="str">
        <f>"林书斌"</f>
        <v>林书斌</v>
      </c>
      <c r="E3059" s="6" t="str">
        <f aca="true" t="shared" si="91" ref="E3059:E3065">"男"</f>
        <v>男</v>
      </c>
    </row>
    <row r="3060" spans="1:5" ht="30" customHeight="1">
      <c r="A3060" s="6">
        <v>3058</v>
      </c>
      <c r="B3060" s="6" t="str">
        <f>"299420210525090712104287"</f>
        <v>299420210525090712104287</v>
      </c>
      <c r="C3060" s="6" t="s">
        <v>1548</v>
      </c>
      <c r="D3060" s="6" t="str">
        <f>"潘孝鹏"</f>
        <v>潘孝鹏</v>
      </c>
      <c r="E3060" s="6" t="str">
        <f t="shared" si="91"/>
        <v>男</v>
      </c>
    </row>
    <row r="3061" spans="1:5" ht="30" customHeight="1">
      <c r="A3061" s="6">
        <v>3059</v>
      </c>
      <c r="B3061" s="6" t="str">
        <f>"299420210525092523104400"</f>
        <v>299420210525092523104400</v>
      </c>
      <c r="C3061" s="6" t="s">
        <v>1548</v>
      </c>
      <c r="D3061" s="6" t="str">
        <f>"王榆鑫"</f>
        <v>王榆鑫</v>
      </c>
      <c r="E3061" s="6" t="str">
        <f t="shared" si="91"/>
        <v>男</v>
      </c>
    </row>
    <row r="3062" spans="1:5" ht="30" customHeight="1">
      <c r="A3062" s="6">
        <v>3060</v>
      </c>
      <c r="B3062" s="6" t="str">
        <f>"299420210525093422104445"</f>
        <v>299420210525093422104445</v>
      </c>
      <c r="C3062" s="6" t="s">
        <v>1548</v>
      </c>
      <c r="D3062" s="6" t="str">
        <f>"朱日胜"</f>
        <v>朱日胜</v>
      </c>
      <c r="E3062" s="6" t="str">
        <f t="shared" si="91"/>
        <v>男</v>
      </c>
    </row>
    <row r="3063" spans="1:5" ht="30" customHeight="1">
      <c r="A3063" s="6">
        <v>3061</v>
      </c>
      <c r="B3063" s="6" t="str">
        <f>"299420210525093716104463"</f>
        <v>299420210525093716104463</v>
      </c>
      <c r="C3063" s="6" t="s">
        <v>1548</v>
      </c>
      <c r="D3063" s="6" t="str">
        <f>"谢自才"</f>
        <v>谢自才</v>
      </c>
      <c r="E3063" s="6" t="str">
        <f t="shared" si="91"/>
        <v>男</v>
      </c>
    </row>
    <row r="3064" spans="1:5" ht="30" customHeight="1">
      <c r="A3064" s="6">
        <v>3062</v>
      </c>
      <c r="B3064" s="6" t="str">
        <f>"299420210525094143104488"</f>
        <v>299420210525094143104488</v>
      </c>
      <c r="C3064" s="6" t="s">
        <v>1548</v>
      </c>
      <c r="D3064" s="6" t="str">
        <f>"周刚"</f>
        <v>周刚</v>
      </c>
      <c r="E3064" s="6" t="str">
        <f t="shared" si="91"/>
        <v>男</v>
      </c>
    </row>
    <row r="3065" spans="1:5" ht="30" customHeight="1">
      <c r="A3065" s="6">
        <v>3063</v>
      </c>
      <c r="B3065" s="6" t="str">
        <f>"299420210525101143104665"</f>
        <v>299420210525101143104665</v>
      </c>
      <c r="C3065" s="6" t="s">
        <v>1548</v>
      </c>
      <c r="D3065" s="6" t="str">
        <f>"王弗君"</f>
        <v>王弗君</v>
      </c>
      <c r="E3065" s="6" t="str">
        <f t="shared" si="91"/>
        <v>男</v>
      </c>
    </row>
    <row r="3066" spans="1:5" ht="30" customHeight="1">
      <c r="A3066" s="6">
        <v>3064</v>
      </c>
      <c r="B3066" s="6" t="str">
        <f>"299420210525101200104666"</f>
        <v>299420210525101200104666</v>
      </c>
      <c r="C3066" s="6" t="s">
        <v>1548</v>
      </c>
      <c r="D3066" s="6" t="str">
        <f>"梁少玲"</f>
        <v>梁少玲</v>
      </c>
      <c r="E3066" s="6" t="str">
        <f>"女"</f>
        <v>女</v>
      </c>
    </row>
    <row r="3067" spans="1:5" ht="30" customHeight="1">
      <c r="A3067" s="6">
        <v>3065</v>
      </c>
      <c r="B3067" s="6" t="str">
        <f>"299420210525101255104672"</f>
        <v>299420210525101255104672</v>
      </c>
      <c r="C3067" s="6" t="s">
        <v>1548</v>
      </c>
      <c r="D3067" s="6" t="str">
        <f>"温伟武"</f>
        <v>温伟武</v>
      </c>
      <c r="E3067" s="6" t="str">
        <f>"男"</f>
        <v>男</v>
      </c>
    </row>
    <row r="3068" spans="1:5" ht="30" customHeight="1">
      <c r="A3068" s="6">
        <v>3066</v>
      </c>
      <c r="B3068" s="6" t="str">
        <f>"299420210525101355104679"</f>
        <v>299420210525101355104679</v>
      </c>
      <c r="C3068" s="6" t="s">
        <v>1548</v>
      </c>
      <c r="D3068" s="6" t="str">
        <f>"李德徐"</f>
        <v>李德徐</v>
      </c>
      <c r="E3068" s="6" t="str">
        <f>"男"</f>
        <v>男</v>
      </c>
    </row>
    <row r="3069" spans="1:5" ht="30" customHeight="1">
      <c r="A3069" s="6">
        <v>3067</v>
      </c>
      <c r="B3069" s="6" t="str">
        <f>"299420210525103050104796"</f>
        <v>299420210525103050104796</v>
      </c>
      <c r="C3069" s="6" t="s">
        <v>1548</v>
      </c>
      <c r="D3069" s="6" t="str">
        <f>"陆元深"</f>
        <v>陆元深</v>
      </c>
      <c r="E3069" s="6" t="str">
        <f>"男"</f>
        <v>男</v>
      </c>
    </row>
    <row r="3070" spans="1:5" ht="30" customHeight="1">
      <c r="A3070" s="6">
        <v>3068</v>
      </c>
      <c r="B3070" s="6" t="str">
        <f>"299420210525103447104826"</f>
        <v>299420210525103447104826</v>
      </c>
      <c r="C3070" s="6" t="s">
        <v>1548</v>
      </c>
      <c r="D3070" s="6" t="str">
        <f>"欧美琪"</f>
        <v>欧美琪</v>
      </c>
      <c r="E3070" s="6" t="str">
        <f>"女"</f>
        <v>女</v>
      </c>
    </row>
    <row r="3071" spans="1:5" ht="30" customHeight="1">
      <c r="A3071" s="6">
        <v>3069</v>
      </c>
      <c r="B3071" s="6" t="str">
        <f>"299420210525103531104834"</f>
        <v>299420210525103531104834</v>
      </c>
      <c r="C3071" s="6" t="s">
        <v>1548</v>
      </c>
      <c r="D3071" s="6" t="str">
        <f>"何纯宝"</f>
        <v>何纯宝</v>
      </c>
      <c r="E3071" s="6" t="str">
        <f>"男"</f>
        <v>男</v>
      </c>
    </row>
    <row r="3072" spans="1:5" ht="30" customHeight="1">
      <c r="A3072" s="6">
        <v>3070</v>
      </c>
      <c r="B3072" s="6" t="str">
        <f>"299420210525110025104965"</f>
        <v>299420210525110025104965</v>
      </c>
      <c r="C3072" s="6" t="s">
        <v>1548</v>
      </c>
      <c r="D3072" s="6" t="str">
        <f>"蔡笃兴"</f>
        <v>蔡笃兴</v>
      </c>
      <c r="E3072" s="6" t="str">
        <f>"男"</f>
        <v>男</v>
      </c>
    </row>
    <row r="3073" spans="1:5" ht="30" customHeight="1">
      <c r="A3073" s="6">
        <v>3071</v>
      </c>
      <c r="B3073" s="6" t="str">
        <f>"299420210525110500104985"</f>
        <v>299420210525110500104985</v>
      </c>
      <c r="C3073" s="6" t="s">
        <v>1548</v>
      </c>
      <c r="D3073" s="6" t="str">
        <f>"郑瑜芬"</f>
        <v>郑瑜芬</v>
      </c>
      <c r="E3073" s="6" t="str">
        <f>"女"</f>
        <v>女</v>
      </c>
    </row>
    <row r="3074" spans="1:5" ht="30" customHeight="1">
      <c r="A3074" s="6">
        <v>3072</v>
      </c>
      <c r="B3074" s="6" t="str">
        <f>"299420210525110526104988"</f>
        <v>299420210525110526104988</v>
      </c>
      <c r="C3074" s="6" t="s">
        <v>1548</v>
      </c>
      <c r="D3074" s="6" t="str">
        <f>"秦代威"</f>
        <v>秦代威</v>
      </c>
      <c r="E3074" s="6" t="str">
        <f>"男"</f>
        <v>男</v>
      </c>
    </row>
    <row r="3075" spans="1:5" ht="30" customHeight="1">
      <c r="A3075" s="6">
        <v>3073</v>
      </c>
      <c r="B3075" s="6" t="str">
        <f>"299420210525112749105092"</f>
        <v>299420210525112749105092</v>
      </c>
      <c r="C3075" s="6" t="s">
        <v>1548</v>
      </c>
      <c r="D3075" s="6" t="str">
        <f>"孙于琅"</f>
        <v>孙于琅</v>
      </c>
      <c r="E3075" s="6" t="str">
        <f>"男"</f>
        <v>男</v>
      </c>
    </row>
    <row r="3076" spans="1:5" ht="30" customHeight="1">
      <c r="A3076" s="6">
        <v>3074</v>
      </c>
      <c r="B3076" s="6" t="str">
        <f>"299420210525113138105112"</f>
        <v>299420210525113138105112</v>
      </c>
      <c r="C3076" s="6" t="s">
        <v>1548</v>
      </c>
      <c r="D3076" s="6" t="str">
        <f>"吴春艳"</f>
        <v>吴春艳</v>
      </c>
      <c r="E3076" s="6" t="str">
        <f>"女"</f>
        <v>女</v>
      </c>
    </row>
    <row r="3077" spans="1:5" ht="30" customHeight="1">
      <c r="A3077" s="6">
        <v>3075</v>
      </c>
      <c r="B3077" s="6" t="str">
        <f>"299420210525114706105172"</f>
        <v>299420210525114706105172</v>
      </c>
      <c r="C3077" s="6" t="s">
        <v>1548</v>
      </c>
      <c r="D3077" s="6" t="str">
        <f>"李丽微"</f>
        <v>李丽微</v>
      </c>
      <c r="E3077" s="6" t="str">
        <f>"女"</f>
        <v>女</v>
      </c>
    </row>
    <row r="3078" spans="1:5" ht="30" customHeight="1">
      <c r="A3078" s="6">
        <v>3076</v>
      </c>
      <c r="B3078" s="6" t="str">
        <f>"299420210525114749105175"</f>
        <v>299420210525114749105175</v>
      </c>
      <c r="C3078" s="6" t="s">
        <v>1548</v>
      </c>
      <c r="D3078" s="6" t="str">
        <f>"苏怿"</f>
        <v>苏怿</v>
      </c>
      <c r="E3078" s="6" t="str">
        <f>"男"</f>
        <v>男</v>
      </c>
    </row>
    <row r="3079" spans="1:5" ht="30" customHeight="1">
      <c r="A3079" s="6">
        <v>3077</v>
      </c>
      <c r="B3079" s="6" t="str">
        <f>"299420210525120404105244"</f>
        <v>299420210525120404105244</v>
      </c>
      <c r="C3079" s="6" t="s">
        <v>1548</v>
      </c>
      <c r="D3079" s="6" t="str">
        <f>"陈春娇"</f>
        <v>陈春娇</v>
      </c>
      <c r="E3079" s="6" t="str">
        <f>"女"</f>
        <v>女</v>
      </c>
    </row>
    <row r="3080" spans="1:5" ht="30" customHeight="1">
      <c r="A3080" s="6">
        <v>3078</v>
      </c>
      <c r="B3080" s="6" t="str">
        <f>"299420210525124443105389"</f>
        <v>299420210525124443105389</v>
      </c>
      <c r="C3080" s="6" t="s">
        <v>1548</v>
      </c>
      <c r="D3080" s="6" t="str">
        <f>"符春荟"</f>
        <v>符春荟</v>
      </c>
      <c r="E3080" s="6" t="str">
        <f aca="true" t="shared" si="92" ref="E3080:E3091">"男"</f>
        <v>男</v>
      </c>
    </row>
    <row r="3081" spans="1:5" ht="30" customHeight="1">
      <c r="A3081" s="6">
        <v>3079</v>
      </c>
      <c r="B3081" s="6" t="str">
        <f>"299420210525132355105494"</f>
        <v>299420210525132355105494</v>
      </c>
      <c r="C3081" s="6" t="s">
        <v>1548</v>
      </c>
      <c r="D3081" s="6" t="str">
        <f>"陈显松"</f>
        <v>陈显松</v>
      </c>
      <c r="E3081" s="6" t="str">
        <f t="shared" si="92"/>
        <v>男</v>
      </c>
    </row>
    <row r="3082" spans="1:5" ht="30" customHeight="1">
      <c r="A3082" s="6">
        <v>3080</v>
      </c>
      <c r="B3082" s="6" t="str">
        <f>"299420210525141519105568"</f>
        <v>299420210525141519105568</v>
      </c>
      <c r="C3082" s="6" t="s">
        <v>1548</v>
      </c>
      <c r="D3082" s="6" t="str">
        <f>"李啟明"</f>
        <v>李啟明</v>
      </c>
      <c r="E3082" s="6" t="str">
        <f t="shared" si="92"/>
        <v>男</v>
      </c>
    </row>
    <row r="3083" spans="1:5" ht="30" customHeight="1">
      <c r="A3083" s="6">
        <v>3081</v>
      </c>
      <c r="B3083" s="6" t="str">
        <f>"299420210525145258105636"</f>
        <v>299420210525145258105636</v>
      </c>
      <c r="C3083" s="6" t="s">
        <v>1548</v>
      </c>
      <c r="D3083" s="6" t="str">
        <f>"吴淑炎"</f>
        <v>吴淑炎</v>
      </c>
      <c r="E3083" s="6" t="str">
        <f t="shared" si="92"/>
        <v>男</v>
      </c>
    </row>
    <row r="3084" spans="1:5" ht="30" customHeight="1">
      <c r="A3084" s="6">
        <v>3082</v>
      </c>
      <c r="B3084" s="6" t="str">
        <f>"299420210525150545105669"</f>
        <v>299420210525150545105669</v>
      </c>
      <c r="C3084" s="6" t="s">
        <v>1548</v>
      </c>
      <c r="D3084" s="6" t="str">
        <f>"马青松"</f>
        <v>马青松</v>
      </c>
      <c r="E3084" s="6" t="str">
        <f t="shared" si="92"/>
        <v>男</v>
      </c>
    </row>
    <row r="3085" spans="1:5" ht="30" customHeight="1">
      <c r="A3085" s="6">
        <v>3083</v>
      </c>
      <c r="B3085" s="6" t="str">
        <f>"299420210525151735105703"</f>
        <v>299420210525151735105703</v>
      </c>
      <c r="C3085" s="6" t="s">
        <v>1548</v>
      </c>
      <c r="D3085" s="6" t="str">
        <f>"彭熠"</f>
        <v>彭熠</v>
      </c>
      <c r="E3085" s="6" t="str">
        <f t="shared" si="92"/>
        <v>男</v>
      </c>
    </row>
    <row r="3086" spans="1:5" ht="30" customHeight="1">
      <c r="A3086" s="6">
        <v>3084</v>
      </c>
      <c r="B3086" s="6" t="str">
        <f>"299420210525154107105789"</f>
        <v>299420210525154107105789</v>
      </c>
      <c r="C3086" s="6" t="s">
        <v>1548</v>
      </c>
      <c r="D3086" s="6" t="str">
        <f>"赵文广"</f>
        <v>赵文广</v>
      </c>
      <c r="E3086" s="6" t="str">
        <f t="shared" si="92"/>
        <v>男</v>
      </c>
    </row>
    <row r="3087" spans="1:5" ht="30" customHeight="1">
      <c r="A3087" s="6">
        <v>3085</v>
      </c>
      <c r="B3087" s="6" t="str">
        <f>"299420210525163319105938"</f>
        <v>299420210525163319105938</v>
      </c>
      <c r="C3087" s="6" t="s">
        <v>1548</v>
      </c>
      <c r="D3087" s="6" t="str">
        <f>"孔维政"</f>
        <v>孔维政</v>
      </c>
      <c r="E3087" s="6" t="str">
        <f t="shared" si="92"/>
        <v>男</v>
      </c>
    </row>
    <row r="3088" spans="1:5" ht="30" customHeight="1">
      <c r="A3088" s="6">
        <v>3086</v>
      </c>
      <c r="B3088" s="6" t="str">
        <f>"299420210525164104105968"</f>
        <v>299420210525164104105968</v>
      </c>
      <c r="C3088" s="6" t="s">
        <v>1548</v>
      </c>
      <c r="D3088" s="6" t="str">
        <f>"陈耀"</f>
        <v>陈耀</v>
      </c>
      <c r="E3088" s="6" t="str">
        <f t="shared" si="92"/>
        <v>男</v>
      </c>
    </row>
    <row r="3089" spans="1:5" ht="30" customHeight="1">
      <c r="A3089" s="6">
        <v>3087</v>
      </c>
      <c r="B3089" s="6" t="str">
        <f>"299420210525164255105975"</f>
        <v>299420210525164255105975</v>
      </c>
      <c r="C3089" s="6" t="s">
        <v>1548</v>
      </c>
      <c r="D3089" s="6" t="str">
        <f>"符史政"</f>
        <v>符史政</v>
      </c>
      <c r="E3089" s="6" t="str">
        <f t="shared" si="92"/>
        <v>男</v>
      </c>
    </row>
    <row r="3090" spans="1:5" ht="30" customHeight="1">
      <c r="A3090" s="6">
        <v>3088</v>
      </c>
      <c r="B3090" s="6" t="str">
        <f>"299420210525170328106022"</f>
        <v>299420210525170328106022</v>
      </c>
      <c r="C3090" s="6" t="s">
        <v>1548</v>
      </c>
      <c r="D3090" s="6" t="str">
        <f>"蔡冠男"</f>
        <v>蔡冠男</v>
      </c>
      <c r="E3090" s="6" t="str">
        <f t="shared" si="92"/>
        <v>男</v>
      </c>
    </row>
    <row r="3091" spans="1:5" ht="30" customHeight="1">
      <c r="A3091" s="6">
        <v>3089</v>
      </c>
      <c r="B3091" s="6" t="str">
        <f>"299420210525173106106075"</f>
        <v>299420210525173106106075</v>
      </c>
      <c r="C3091" s="6" t="s">
        <v>1548</v>
      </c>
      <c r="D3091" s="6" t="str">
        <f>"孙振宇"</f>
        <v>孙振宇</v>
      </c>
      <c r="E3091" s="6" t="str">
        <f t="shared" si="92"/>
        <v>男</v>
      </c>
    </row>
    <row r="3092" spans="1:5" ht="30" customHeight="1">
      <c r="A3092" s="6">
        <v>3090</v>
      </c>
      <c r="B3092" s="6" t="str">
        <f>"299420210525180020106145"</f>
        <v>299420210525180020106145</v>
      </c>
      <c r="C3092" s="6" t="s">
        <v>1548</v>
      </c>
      <c r="D3092" s="6" t="str">
        <f>"庞佳佳"</f>
        <v>庞佳佳</v>
      </c>
      <c r="E3092" s="6" t="str">
        <f>"女"</f>
        <v>女</v>
      </c>
    </row>
    <row r="3093" spans="1:5" ht="30" customHeight="1">
      <c r="A3093" s="6">
        <v>3091</v>
      </c>
      <c r="B3093" s="6" t="str">
        <f>"299420210525180230106149"</f>
        <v>299420210525180230106149</v>
      </c>
      <c r="C3093" s="6" t="s">
        <v>1548</v>
      </c>
      <c r="D3093" s="6" t="str">
        <f>"刘晨曦"</f>
        <v>刘晨曦</v>
      </c>
      <c r="E3093" s="6" t="str">
        <f>"男"</f>
        <v>男</v>
      </c>
    </row>
    <row r="3094" spans="1:5" ht="30" customHeight="1">
      <c r="A3094" s="6">
        <v>3092</v>
      </c>
      <c r="B3094" s="6" t="str">
        <f>"299420210525201843106460"</f>
        <v>299420210525201843106460</v>
      </c>
      <c r="C3094" s="6" t="s">
        <v>1548</v>
      </c>
      <c r="D3094" s="6" t="str">
        <f>"吴维峰"</f>
        <v>吴维峰</v>
      </c>
      <c r="E3094" s="6" t="str">
        <f>"男"</f>
        <v>男</v>
      </c>
    </row>
    <row r="3095" spans="1:5" ht="30" customHeight="1">
      <c r="A3095" s="6">
        <v>3093</v>
      </c>
      <c r="B3095" s="6" t="str">
        <f>"299420210525203336106506"</f>
        <v>299420210525203336106506</v>
      </c>
      <c r="C3095" s="6" t="s">
        <v>1548</v>
      </c>
      <c r="D3095" s="6" t="str">
        <f>"符明理"</f>
        <v>符明理</v>
      </c>
      <c r="E3095" s="6" t="str">
        <f>"男"</f>
        <v>男</v>
      </c>
    </row>
    <row r="3096" spans="1:5" ht="30" customHeight="1">
      <c r="A3096" s="6">
        <v>3094</v>
      </c>
      <c r="B3096" s="6" t="str">
        <f>"299420210525210230106558"</f>
        <v>299420210525210230106558</v>
      </c>
      <c r="C3096" s="6" t="s">
        <v>1548</v>
      </c>
      <c r="D3096" s="6" t="str">
        <f>"符玲"</f>
        <v>符玲</v>
      </c>
      <c r="E3096" s="6" t="str">
        <f>"女"</f>
        <v>女</v>
      </c>
    </row>
    <row r="3097" spans="1:5" ht="30" customHeight="1">
      <c r="A3097" s="6">
        <v>3095</v>
      </c>
      <c r="B3097" s="6" t="str">
        <f>"299420210525211211106579"</f>
        <v>299420210525211211106579</v>
      </c>
      <c r="C3097" s="6" t="s">
        <v>1548</v>
      </c>
      <c r="D3097" s="6" t="str">
        <f>"符小朵"</f>
        <v>符小朵</v>
      </c>
      <c r="E3097" s="6" t="str">
        <f>"女"</f>
        <v>女</v>
      </c>
    </row>
    <row r="3098" spans="1:5" ht="30" customHeight="1">
      <c r="A3098" s="6">
        <v>3096</v>
      </c>
      <c r="B3098" s="6" t="str">
        <f>"299420210525230723106832"</f>
        <v>299420210525230723106832</v>
      </c>
      <c r="C3098" s="6" t="s">
        <v>1548</v>
      </c>
      <c r="D3098" s="6" t="str">
        <f>"梁金鸿"</f>
        <v>梁金鸿</v>
      </c>
      <c r="E3098" s="6" t="str">
        <f>"男"</f>
        <v>男</v>
      </c>
    </row>
    <row r="3099" spans="1:5" ht="30" customHeight="1">
      <c r="A3099" s="6">
        <v>3097</v>
      </c>
      <c r="B3099" s="6" t="str">
        <f>"299420210526010925106938"</f>
        <v>299420210526010925106938</v>
      </c>
      <c r="C3099" s="6" t="s">
        <v>1548</v>
      </c>
      <c r="D3099" s="6" t="str">
        <f>"邱庆养"</f>
        <v>邱庆养</v>
      </c>
      <c r="E3099" s="6" t="str">
        <f>"男"</f>
        <v>男</v>
      </c>
    </row>
    <row r="3100" spans="1:5" ht="30" customHeight="1">
      <c r="A3100" s="6">
        <v>3098</v>
      </c>
      <c r="B3100" s="6" t="str">
        <f>"299420210526013642106941"</f>
        <v>299420210526013642106941</v>
      </c>
      <c r="C3100" s="6" t="s">
        <v>1548</v>
      </c>
      <c r="D3100" s="6" t="str">
        <f>"陈弟"</f>
        <v>陈弟</v>
      </c>
      <c r="E3100" s="6" t="str">
        <f>"男"</f>
        <v>男</v>
      </c>
    </row>
    <row r="3101" spans="1:5" ht="30" customHeight="1">
      <c r="A3101" s="6">
        <v>3099</v>
      </c>
      <c r="B3101" s="6" t="str">
        <f>"299420210526075304106968"</f>
        <v>299420210526075304106968</v>
      </c>
      <c r="C3101" s="6" t="s">
        <v>1548</v>
      </c>
      <c r="D3101" s="6" t="str">
        <f>"符芳永"</f>
        <v>符芳永</v>
      </c>
      <c r="E3101" s="6" t="str">
        <f>"男"</f>
        <v>男</v>
      </c>
    </row>
    <row r="3102" spans="1:5" ht="30" customHeight="1">
      <c r="A3102" s="6">
        <v>3100</v>
      </c>
      <c r="B3102" s="6" t="str">
        <f>"299420210526080250106975"</f>
        <v>299420210526080250106975</v>
      </c>
      <c r="C3102" s="6" t="s">
        <v>1548</v>
      </c>
      <c r="D3102" s="6" t="str">
        <f>"李佳橙"</f>
        <v>李佳橙</v>
      </c>
      <c r="E3102" s="6" t="str">
        <f>"女"</f>
        <v>女</v>
      </c>
    </row>
    <row r="3103" spans="1:5" ht="30" customHeight="1">
      <c r="A3103" s="6">
        <v>3101</v>
      </c>
      <c r="B3103" s="6" t="str">
        <f>"299420210526085755107055"</f>
        <v>299420210526085755107055</v>
      </c>
      <c r="C3103" s="6" t="s">
        <v>1548</v>
      </c>
      <c r="D3103" s="6" t="str">
        <f>"刘璐"</f>
        <v>刘璐</v>
      </c>
      <c r="E3103" s="6" t="str">
        <f>"女"</f>
        <v>女</v>
      </c>
    </row>
    <row r="3104" spans="1:5" ht="30" customHeight="1">
      <c r="A3104" s="6">
        <v>3102</v>
      </c>
      <c r="B3104" s="6" t="str">
        <f>"299420210526092736107115"</f>
        <v>299420210526092736107115</v>
      </c>
      <c r="C3104" s="6" t="s">
        <v>1548</v>
      </c>
      <c r="D3104" s="6" t="str">
        <f>"符盼臻"</f>
        <v>符盼臻</v>
      </c>
      <c r="E3104" s="6" t="str">
        <f aca="true" t="shared" si="93" ref="E3104:E3112">"男"</f>
        <v>男</v>
      </c>
    </row>
    <row r="3105" spans="1:5" ht="30" customHeight="1">
      <c r="A3105" s="6">
        <v>3103</v>
      </c>
      <c r="B3105" s="6" t="str">
        <f>"299420210526094047107151"</f>
        <v>299420210526094047107151</v>
      </c>
      <c r="C3105" s="6" t="s">
        <v>1548</v>
      </c>
      <c r="D3105" s="6" t="str">
        <f>"符松荣"</f>
        <v>符松荣</v>
      </c>
      <c r="E3105" s="6" t="str">
        <f t="shared" si="93"/>
        <v>男</v>
      </c>
    </row>
    <row r="3106" spans="1:5" ht="30" customHeight="1">
      <c r="A3106" s="6">
        <v>3104</v>
      </c>
      <c r="B3106" s="6" t="str">
        <f>"299420210526094834107166"</f>
        <v>299420210526094834107166</v>
      </c>
      <c r="C3106" s="6" t="s">
        <v>1548</v>
      </c>
      <c r="D3106" s="6" t="str">
        <f>"李武深"</f>
        <v>李武深</v>
      </c>
      <c r="E3106" s="6" t="str">
        <f t="shared" si="93"/>
        <v>男</v>
      </c>
    </row>
    <row r="3107" spans="1:5" ht="30" customHeight="1">
      <c r="A3107" s="6">
        <v>3105</v>
      </c>
      <c r="B3107" s="6" t="str">
        <f>"299420210526103858107302"</f>
        <v>299420210526103858107302</v>
      </c>
      <c r="C3107" s="6" t="s">
        <v>1548</v>
      </c>
      <c r="D3107" s="6" t="str">
        <f>"林寿呈"</f>
        <v>林寿呈</v>
      </c>
      <c r="E3107" s="6" t="str">
        <f t="shared" si="93"/>
        <v>男</v>
      </c>
    </row>
    <row r="3108" spans="1:5" ht="30" customHeight="1">
      <c r="A3108" s="6">
        <v>3106</v>
      </c>
      <c r="B3108" s="6" t="str">
        <f>"299420210526104535107313"</f>
        <v>299420210526104535107313</v>
      </c>
      <c r="C3108" s="6" t="s">
        <v>1548</v>
      </c>
      <c r="D3108" s="6" t="str">
        <f>"刘俊"</f>
        <v>刘俊</v>
      </c>
      <c r="E3108" s="6" t="str">
        <f t="shared" si="93"/>
        <v>男</v>
      </c>
    </row>
    <row r="3109" spans="1:5" ht="30" customHeight="1">
      <c r="A3109" s="6">
        <v>3107</v>
      </c>
      <c r="B3109" s="6" t="str">
        <f>"299420210526112216107401"</f>
        <v>299420210526112216107401</v>
      </c>
      <c r="C3109" s="6" t="s">
        <v>1548</v>
      </c>
      <c r="D3109" s="6" t="str">
        <f>"翁书城"</f>
        <v>翁书城</v>
      </c>
      <c r="E3109" s="6" t="str">
        <f t="shared" si="93"/>
        <v>男</v>
      </c>
    </row>
    <row r="3110" spans="1:5" ht="30" customHeight="1">
      <c r="A3110" s="6">
        <v>3108</v>
      </c>
      <c r="B3110" s="6" t="str">
        <f>"299420210526113606107429"</f>
        <v>299420210526113606107429</v>
      </c>
      <c r="C3110" s="6" t="s">
        <v>1548</v>
      </c>
      <c r="D3110" s="6" t="str">
        <f>"符棉钫"</f>
        <v>符棉钫</v>
      </c>
      <c r="E3110" s="6" t="str">
        <f t="shared" si="93"/>
        <v>男</v>
      </c>
    </row>
    <row r="3111" spans="1:5" ht="30" customHeight="1">
      <c r="A3111" s="6">
        <v>3109</v>
      </c>
      <c r="B3111" s="6" t="str">
        <f>"299420210526115942107470"</f>
        <v>299420210526115942107470</v>
      </c>
      <c r="C3111" s="6" t="s">
        <v>1548</v>
      </c>
      <c r="D3111" s="6" t="str">
        <f>"吴钟冠"</f>
        <v>吴钟冠</v>
      </c>
      <c r="E3111" s="6" t="str">
        <f t="shared" si="93"/>
        <v>男</v>
      </c>
    </row>
    <row r="3112" spans="1:5" ht="30" customHeight="1">
      <c r="A3112" s="6">
        <v>3110</v>
      </c>
      <c r="B3112" s="6" t="str">
        <f>"299420210526125515107592"</f>
        <v>299420210526125515107592</v>
      </c>
      <c r="C3112" s="6" t="s">
        <v>1548</v>
      </c>
      <c r="D3112" s="6" t="str">
        <f>"吴煜奇"</f>
        <v>吴煜奇</v>
      </c>
      <c r="E3112" s="6" t="str">
        <f t="shared" si="93"/>
        <v>男</v>
      </c>
    </row>
    <row r="3113" spans="1:5" ht="30" customHeight="1">
      <c r="A3113" s="6">
        <v>3111</v>
      </c>
      <c r="B3113" s="6" t="str">
        <f>"299420210526132829107641"</f>
        <v>299420210526132829107641</v>
      </c>
      <c r="C3113" s="6" t="s">
        <v>1548</v>
      </c>
      <c r="D3113" s="6" t="str">
        <f>"符兰青"</f>
        <v>符兰青</v>
      </c>
      <c r="E3113" s="6" t="str">
        <f>"女"</f>
        <v>女</v>
      </c>
    </row>
    <row r="3114" spans="1:5" ht="30" customHeight="1">
      <c r="A3114" s="6">
        <v>3112</v>
      </c>
      <c r="B3114" s="6" t="str">
        <f>"299420210526140458107663"</f>
        <v>299420210526140458107663</v>
      </c>
      <c r="C3114" s="6" t="s">
        <v>1548</v>
      </c>
      <c r="D3114" s="6" t="str">
        <f>"蔡佳豪"</f>
        <v>蔡佳豪</v>
      </c>
      <c r="E3114" s="6" t="str">
        <f aca="true" t="shared" si="94" ref="E3114:E3119">"男"</f>
        <v>男</v>
      </c>
    </row>
    <row r="3115" spans="1:5" ht="30" customHeight="1">
      <c r="A3115" s="6">
        <v>3113</v>
      </c>
      <c r="B3115" s="6" t="str">
        <f>"299420210526144920107707"</f>
        <v>299420210526144920107707</v>
      </c>
      <c r="C3115" s="6" t="s">
        <v>1548</v>
      </c>
      <c r="D3115" s="6" t="str">
        <f>"陈名尉"</f>
        <v>陈名尉</v>
      </c>
      <c r="E3115" s="6" t="str">
        <f t="shared" si="94"/>
        <v>男</v>
      </c>
    </row>
    <row r="3116" spans="1:5" ht="30" customHeight="1">
      <c r="A3116" s="6">
        <v>3114</v>
      </c>
      <c r="B3116" s="6" t="str">
        <f>"299420210526151725107769"</f>
        <v>299420210526151725107769</v>
      </c>
      <c r="C3116" s="6" t="s">
        <v>1548</v>
      </c>
      <c r="D3116" s="6" t="str">
        <f>"陈振富"</f>
        <v>陈振富</v>
      </c>
      <c r="E3116" s="6" t="str">
        <f t="shared" si="94"/>
        <v>男</v>
      </c>
    </row>
    <row r="3117" spans="1:5" ht="30" customHeight="1">
      <c r="A3117" s="6">
        <v>3115</v>
      </c>
      <c r="B3117" s="6" t="str">
        <f>"299420210526154917107825"</f>
        <v>299420210526154917107825</v>
      </c>
      <c r="C3117" s="6" t="s">
        <v>1548</v>
      </c>
      <c r="D3117" s="6" t="str">
        <f>"黄田刚"</f>
        <v>黄田刚</v>
      </c>
      <c r="E3117" s="6" t="str">
        <f t="shared" si="94"/>
        <v>男</v>
      </c>
    </row>
    <row r="3118" spans="1:5" ht="30" customHeight="1">
      <c r="A3118" s="6">
        <v>3116</v>
      </c>
      <c r="B3118" s="6" t="str">
        <f>"299420210526155428107839"</f>
        <v>299420210526155428107839</v>
      </c>
      <c r="C3118" s="6" t="s">
        <v>1548</v>
      </c>
      <c r="D3118" s="6" t="str">
        <f>"杜盛"</f>
        <v>杜盛</v>
      </c>
      <c r="E3118" s="6" t="str">
        <f t="shared" si="94"/>
        <v>男</v>
      </c>
    </row>
    <row r="3119" spans="1:5" ht="30" customHeight="1">
      <c r="A3119" s="6">
        <v>3117</v>
      </c>
      <c r="B3119" s="6" t="str">
        <f>"299420210526160316107861"</f>
        <v>299420210526160316107861</v>
      </c>
      <c r="C3119" s="6" t="s">
        <v>1548</v>
      </c>
      <c r="D3119" s="6" t="str">
        <f>"董振豪"</f>
        <v>董振豪</v>
      </c>
      <c r="E3119" s="6" t="str">
        <f t="shared" si="94"/>
        <v>男</v>
      </c>
    </row>
    <row r="3120" spans="1:5" ht="30" customHeight="1">
      <c r="A3120" s="6">
        <v>3118</v>
      </c>
      <c r="B3120" s="6" t="str">
        <f>"299420210526165643107969"</f>
        <v>299420210526165643107969</v>
      </c>
      <c r="C3120" s="6" t="s">
        <v>1548</v>
      </c>
      <c r="D3120" s="6" t="str">
        <f>"岑小娟"</f>
        <v>岑小娟</v>
      </c>
      <c r="E3120" s="6" t="str">
        <f>"女"</f>
        <v>女</v>
      </c>
    </row>
    <row r="3121" spans="1:5" ht="30" customHeight="1">
      <c r="A3121" s="6">
        <v>3119</v>
      </c>
      <c r="B3121" s="6" t="str">
        <f>"299420210526205852108389"</f>
        <v>299420210526205852108389</v>
      </c>
      <c r="C3121" s="6" t="s">
        <v>1548</v>
      </c>
      <c r="D3121" s="6" t="str">
        <f>"占玉敏"</f>
        <v>占玉敏</v>
      </c>
      <c r="E3121" s="6" t="str">
        <f>"女"</f>
        <v>女</v>
      </c>
    </row>
    <row r="3122" spans="1:5" ht="30" customHeight="1">
      <c r="A3122" s="6">
        <v>3120</v>
      </c>
      <c r="B3122" s="6" t="str">
        <f>"299420210526222019108587"</f>
        <v>299420210526222019108587</v>
      </c>
      <c r="C3122" s="6" t="s">
        <v>1548</v>
      </c>
      <c r="D3122" s="6" t="str">
        <f>"张艺凡"</f>
        <v>张艺凡</v>
      </c>
      <c r="E3122" s="6" t="str">
        <f>"男"</f>
        <v>男</v>
      </c>
    </row>
    <row r="3123" spans="1:5" ht="30" customHeight="1">
      <c r="A3123" s="6">
        <v>3121</v>
      </c>
      <c r="B3123" s="6" t="str">
        <f>"299420210526230035108660"</f>
        <v>299420210526230035108660</v>
      </c>
      <c r="C3123" s="6" t="s">
        <v>1548</v>
      </c>
      <c r="D3123" s="6" t="str">
        <f>"陈建波"</f>
        <v>陈建波</v>
      </c>
      <c r="E3123" s="6" t="str">
        <f>"男"</f>
        <v>男</v>
      </c>
    </row>
    <row r="3124" spans="1:5" ht="30" customHeight="1">
      <c r="A3124" s="6">
        <v>3122</v>
      </c>
      <c r="B3124" s="6" t="str">
        <f>"299420210526234124108713"</f>
        <v>299420210526234124108713</v>
      </c>
      <c r="C3124" s="6" t="s">
        <v>1548</v>
      </c>
      <c r="D3124" s="6" t="str">
        <f>"唐大香"</f>
        <v>唐大香</v>
      </c>
      <c r="E3124" s="6" t="str">
        <f>"女"</f>
        <v>女</v>
      </c>
    </row>
    <row r="3125" spans="1:5" ht="30" customHeight="1">
      <c r="A3125" s="6">
        <v>3123</v>
      </c>
      <c r="B3125" s="6" t="str">
        <f>"299420210527075321108813"</f>
        <v>299420210527075321108813</v>
      </c>
      <c r="C3125" s="6" t="s">
        <v>1548</v>
      </c>
      <c r="D3125" s="6" t="str">
        <f>"逄艳"</f>
        <v>逄艳</v>
      </c>
      <c r="E3125" s="6" t="str">
        <f>"女"</f>
        <v>女</v>
      </c>
    </row>
    <row r="3126" spans="1:5" ht="30" customHeight="1">
      <c r="A3126" s="6">
        <v>3124</v>
      </c>
      <c r="B3126" s="6" t="str">
        <f>"299420210527075918108817"</f>
        <v>299420210527075918108817</v>
      </c>
      <c r="C3126" s="6" t="s">
        <v>1548</v>
      </c>
      <c r="D3126" s="6" t="str">
        <f>"朱德浩"</f>
        <v>朱德浩</v>
      </c>
      <c r="E3126" s="6" t="str">
        <f>"男"</f>
        <v>男</v>
      </c>
    </row>
    <row r="3127" spans="1:5" ht="30" customHeight="1">
      <c r="A3127" s="6">
        <v>3125</v>
      </c>
      <c r="B3127" s="6" t="str">
        <f>"299420210527082752108840"</f>
        <v>299420210527082752108840</v>
      </c>
      <c r="C3127" s="6" t="s">
        <v>1548</v>
      </c>
      <c r="D3127" s="6" t="str">
        <f>"符悦丰"</f>
        <v>符悦丰</v>
      </c>
      <c r="E3127" s="6" t="str">
        <f>"男"</f>
        <v>男</v>
      </c>
    </row>
    <row r="3128" spans="1:5" ht="30" customHeight="1">
      <c r="A3128" s="6">
        <v>3126</v>
      </c>
      <c r="B3128" s="6" t="str">
        <f>"299420210527084942108867"</f>
        <v>299420210527084942108867</v>
      </c>
      <c r="C3128" s="6" t="s">
        <v>1548</v>
      </c>
      <c r="D3128" s="6" t="str">
        <f>"陈德勤"</f>
        <v>陈德勤</v>
      </c>
      <c r="E3128" s="6" t="str">
        <f>"男"</f>
        <v>男</v>
      </c>
    </row>
    <row r="3129" spans="1:5" ht="30" customHeight="1">
      <c r="A3129" s="6">
        <v>3127</v>
      </c>
      <c r="B3129" s="6" t="str">
        <f>"299420210527093339108941"</f>
        <v>299420210527093339108941</v>
      </c>
      <c r="C3129" s="6" t="s">
        <v>1548</v>
      </c>
      <c r="D3129" s="6" t="str">
        <f>"符大树"</f>
        <v>符大树</v>
      </c>
      <c r="E3129" s="6" t="str">
        <f>"男"</f>
        <v>男</v>
      </c>
    </row>
    <row r="3130" spans="1:5" ht="30" customHeight="1">
      <c r="A3130" s="6">
        <v>3128</v>
      </c>
      <c r="B3130" s="6" t="str">
        <f>"299420210527100506109001"</f>
        <v>299420210527100506109001</v>
      </c>
      <c r="C3130" s="6" t="s">
        <v>1548</v>
      </c>
      <c r="D3130" s="6" t="str">
        <f>"黎婉念"</f>
        <v>黎婉念</v>
      </c>
      <c r="E3130" s="6" t="str">
        <f>"女"</f>
        <v>女</v>
      </c>
    </row>
    <row r="3131" spans="1:5" ht="30" customHeight="1">
      <c r="A3131" s="6">
        <v>3129</v>
      </c>
      <c r="B3131" s="6" t="str">
        <f>"299420210527101416109021"</f>
        <v>299420210527101416109021</v>
      </c>
      <c r="C3131" s="6" t="s">
        <v>1548</v>
      </c>
      <c r="D3131" s="6" t="str">
        <f>"黄庆"</f>
        <v>黄庆</v>
      </c>
      <c r="E3131" s="6" t="str">
        <f>"男"</f>
        <v>男</v>
      </c>
    </row>
    <row r="3132" spans="1:5" ht="30" customHeight="1">
      <c r="A3132" s="6">
        <v>3130</v>
      </c>
      <c r="B3132" s="6" t="str">
        <f>"299420210527103210109057"</f>
        <v>299420210527103210109057</v>
      </c>
      <c r="C3132" s="6" t="s">
        <v>1548</v>
      </c>
      <c r="D3132" s="6" t="str">
        <f>"戴虎成"</f>
        <v>戴虎成</v>
      </c>
      <c r="E3132" s="6" t="str">
        <f>"男"</f>
        <v>男</v>
      </c>
    </row>
    <row r="3133" spans="1:5" ht="30" customHeight="1">
      <c r="A3133" s="6">
        <v>3131</v>
      </c>
      <c r="B3133" s="6" t="str">
        <f>"299420210527104624109080"</f>
        <v>299420210527104624109080</v>
      </c>
      <c r="C3133" s="6" t="s">
        <v>1548</v>
      </c>
      <c r="D3133" s="6" t="str">
        <f>"梁蕾倩"</f>
        <v>梁蕾倩</v>
      </c>
      <c r="E3133" s="6" t="str">
        <f>"女"</f>
        <v>女</v>
      </c>
    </row>
    <row r="3134" spans="1:5" ht="30" customHeight="1">
      <c r="A3134" s="6">
        <v>3132</v>
      </c>
      <c r="B3134" s="6" t="str">
        <f>"299420210527112657109159"</f>
        <v>299420210527112657109159</v>
      </c>
      <c r="C3134" s="6" t="s">
        <v>1548</v>
      </c>
      <c r="D3134" s="6" t="str">
        <f>"郭景海"</f>
        <v>郭景海</v>
      </c>
      <c r="E3134" s="6" t="str">
        <f aca="true" t="shared" si="95" ref="E3134:E3140">"男"</f>
        <v>男</v>
      </c>
    </row>
    <row r="3135" spans="1:5" ht="30" customHeight="1">
      <c r="A3135" s="6">
        <v>3133</v>
      </c>
      <c r="B3135" s="6" t="str">
        <f>"299420210527113943109174"</f>
        <v>299420210527113943109174</v>
      </c>
      <c r="C3135" s="6" t="s">
        <v>1548</v>
      </c>
      <c r="D3135" s="6" t="str">
        <f>"陈元理"</f>
        <v>陈元理</v>
      </c>
      <c r="E3135" s="6" t="str">
        <f t="shared" si="95"/>
        <v>男</v>
      </c>
    </row>
    <row r="3136" spans="1:5" ht="30" customHeight="1">
      <c r="A3136" s="6">
        <v>3134</v>
      </c>
      <c r="B3136" s="6" t="str">
        <f>"299420210527132611109306"</f>
        <v>299420210527132611109306</v>
      </c>
      <c r="C3136" s="6" t="s">
        <v>1548</v>
      </c>
      <c r="D3136" s="6" t="str">
        <f>"林英杰"</f>
        <v>林英杰</v>
      </c>
      <c r="E3136" s="6" t="str">
        <f t="shared" si="95"/>
        <v>男</v>
      </c>
    </row>
    <row r="3137" spans="1:5" ht="30" customHeight="1">
      <c r="A3137" s="6">
        <v>3135</v>
      </c>
      <c r="B3137" s="6" t="str">
        <f>"299420210527153722109468"</f>
        <v>299420210527153722109468</v>
      </c>
      <c r="C3137" s="6" t="s">
        <v>1548</v>
      </c>
      <c r="D3137" s="6" t="str">
        <f>"吴多富"</f>
        <v>吴多富</v>
      </c>
      <c r="E3137" s="6" t="str">
        <f t="shared" si="95"/>
        <v>男</v>
      </c>
    </row>
    <row r="3138" spans="1:5" ht="30" customHeight="1">
      <c r="A3138" s="6">
        <v>3136</v>
      </c>
      <c r="B3138" s="6" t="str">
        <f>"299420210527154100109473"</f>
        <v>299420210527154100109473</v>
      </c>
      <c r="C3138" s="6" t="s">
        <v>1548</v>
      </c>
      <c r="D3138" s="6" t="str">
        <f>"王运来"</f>
        <v>王运来</v>
      </c>
      <c r="E3138" s="6" t="str">
        <f t="shared" si="95"/>
        <v>男</v>
      </c>
    </row>
    <row r="3139" spans="1:5" ht="30" customHeight="1">
      <c r="A3139" s="6">
        <v>3137</v>
      </c>
      <c r="B3139" s="6" t="str">
        <f>"299420210527173505109684"</f>
        <v>299420210527173505109684</v>
      </c>
      <c r="C3139" s="6" t="s">
        <v>1548</v>
      </c>
      <c r="D3139" s="6" t="str">
        <f>"符裕诚"</f>
        <v>符裕诚</v>
      </c>
      <c r="E3139" s="6" t="str">
        <f t="shared" si="95"/>
        <v>男</v>
      </c>
    </row>
    <row r="3140" spans="1:5" ht="30" customHeight="1">
      <c r="A3140" s="6">
        <v>3138</v>
      </c>
      <c r="B3140" s="6" t="str">
        <f>"299420210527195429109850"</f>
        <v>299420210527195429109850</v>
      </c>
      <c r="C3140" s="6" t="s">
        <v>1548</v>
      </c>
      <c r="D3140" s="6" t="str">
        <f>"梁崇明"</f>
        <v>梁崇明</v>
      </c>
      <c r="E3140" s="6" t="str">
        <f t="shared" si="95"/>
        <v>男</v>
      </c>
    </row>
    <row r="3141" spans="1:5" ht="30" customHeight="1">
      <c r="A3141" s="6">
        <v>3139</v>
      </c>
      <c r="B3141" s="6" t="str">
        <f>"299420210527215931110009"</f>
        <v>299420210527215931110009</v>
      </c>
      <c r="C3141" s="6" t="s">
        <v>1548</v>
      </c>
      <c r="D3141" s="6" t="str">
        <f>"袁艳敏"</f>
        <v>袁艳敏</v>
      </c>
      <c r="E3141" s="6" t="str">
        <f>"女"</f>
        <v>女</v>
      </c>
    </row>
    <row r="3142" spans="1:5" ht="30" customHeight="1">
      <c r="A3142" s="6">
        <v>3140</v>
      </c>
      <c r="B3142" s="6" t="str">
        <f>"299420210527221034110026"</f>
        <v>299420210527221034110026</v>
      </c>
      <c r="C3142" s="6" t="s">
        <v>1548</v>
      </c>
      <c r="D3142" s="6" t="str">
        <f>"蔡选昆"</f>
        <v>蔡选昆</v>
      </c>
      <c r="E3142" s="6" t="str">
        <f aca="true" t="shared" si="96" ref="E3142:E3150">"男"</f>
        <v>男</v>
      </c>
    </row>
    <row r="3143" spans="1:5" ht="30" customHeight="1">
      <c r="A3143" s="6">
        <v>3141</v>
      </c>
      <c r="B3143" s="6" t="str">
        <f>"299420210527222740110054"</f>
        <v>299420210527222740110054</v>
      </c>
      <c r="C3143" s="6" t="s">
        <v>1548</v>
      </c>
      <c r="D3143" s="6" t="str">
        <f>"何绍东"</f>
        <v>何绍东</v>
      </c>
      <c r="E3143" s="6" t="str">
        <f t="shared" si="96"/>
        <v>男</v>
      </c>
    </row>
    <row r="3144" spans="1:5" ht="30" customHeight="1">
      <c r="A3144" s="6">
        <v>3142</v>
      </c>
      <c r="B3144" s="6" t="str">
        <f>"299420210527223139110061"</f>
        <v>299420210527223139110061</v>
      </c>
      <c r="C3144" s="6" t="s">
        <v>1548</v>
      </c>
      <c r="D3144" s="6" t="str">
        <f>"李燕山"</f>
        <v>李燕山</v>
      </c>
      <c r="E3144" s="6" t="str">
        <f t="shared" si="96"/>
        <v>男</v>
      </c>
    </row>
    <row r="3145" spans="1:5" ht="30" customHeight="1">
      <c r="A3145" s="6">
        <v>3143</v>
      </c>
      <c r="B3145" s="6" t="str">
        <f>"299420210527224229110071"</f>
        <v>299420210527224229110071</v>
      </c>
      <c r="C3145" s="6" t="s">
        <v>1548</v>
      </c>
      <c r="D3145" s="6" t="str">
        <f>"曾子文"</f>
        <v>曾子文</v>
      </c>
      <c r="E3145" s="6" t="str">
        <f t="shared" si="96"/>
        <v>男</v>
      </c>
    </row>
    <row r="3146" spans="1:5" ht="30" customHeight="1">
      <c r="A3146" s="6">
        <v>3144</v>
      </c>
      <c r="B3146" s="6" t="str">
        <f>"299420210527230356110109"</f>
        <v>299420210527230356110109</v>
      </c>
      <c r="C3146" s="6" t="s">
        <v>1548</v>
      </c>
      <c r="D3146" s="6" t="str">
        <f>"高泽琼"</f>
        <v>高泽琼</v>
      </c>
      <c r="E3146" s="6" t="str">
        <f t="shared" si="96"/>
        <v>男</v>
      </c>
    </row>
    <row r="3147" spans="1:5" ht="30" customHeight="1">
      <c r="A3147" s="6">
        <v>3145</v>
      </c>
      <c r="B3147" s="6" t="str">
        <f>"299420210527232804110130"</f>
        <v>299420210527232804110130</v>
      </c>
      <c r="C3147" s="6" t="s">
        <v>1548</v>
      </c>
      <c r="D3147" s="6" t="str">
        <f>"羊为俊"</f>
        <v>羊为俊</v>
      </c>
      <c r="E3147" s="6" t="str">
        <f t="shared" si="96"/>
        <v>男</v>
      </c>
    </row>
    <row r="3148" spans="1:5" ht="30" customHeight="1">
      <c r="A3148" s="6">
        <v>3146</v>
      </c>
      <c r="B3148" s="6" t="str">
        <f>"299420210528023042110179"</f>
        <v>299420210528023042110179</v>
      </c>
      <c r="C3148" s="6" t="s">
        <v>1548</v>
      </c>
      <c r="D3148" s="6" t="str">
        <f>"林宓"</f>
        <v>林宓</v>
      </c>
      <c r="E3148" s="6" t="str">
        <f t="shared" si="96"/>
        <v>男</v>
      </c>
    </row>
    <row r="3149" spans="1:5" ht="30" customHeight="1">
      <c r="A3149" s="6">
        <v>3147</v>
      </c>
      <c r="B3149" s="6" t="str">
        <f>"299420210528105557110474"</f>
        <v>299420210528105557110474</v>
      </c>
      <c r="C3149" s="6" t="s">
        <v>1548</v>
      </c>
      <c r="D3149" s="6" t="str">
        <f>"黄仁龙"</f>
        <v>黄仁龙</v>
      </c>
      <c r="E3149" s="6" t="str">
        <f t="shared" si="96"/>
        <v>男</v>
      </c>
    </row>
    <row r="3150" spans="1:5" ht="30" customHeight="1">
      <c r="A3150" s="6">
        <v>3148</v>
      </c>
      <c r="B3150" s="6" t="str">
        <f>"299420210528121030110578"</f>
        <v>299420210528121030110578</v>
      </c>
      <c r="C3150" s="6" t="s">
        <v>1548</v>
      </c>
      <c r="D3150" s="6" t="str">
        <f>"黄光诚"</f>
        <v>黄光诚</v>
      </c>
      <c r="E3150" s="6" t="str">
        <f t="shared" si="96"/>
        <v>男</v>
      </c>
    </row>
    <row r="3151" spans="1:5" ht="30" customHeight="1">
      <c r="A3151" s="6">
        <v>3149</v>
      </c>
      <c r="B3151" s="6" t="str">
        <f>"299420210528162000110930"</f>
        <v>299420210528162000110930</v>
      </c>
      <c r="C3151" s="6" t="s">
        <v>1548</v>
      </c>
      <c r="D3151" s="6" t="str">
        <f>"张爱娇"</f>
        <v>张爱娇</v>
      </c>
      <c r="E3151" s="6" t="str">
        <f>"女"</f>
        <v>女</v>
      </c>
    </row>
    <row r="3152" spans="1:5" ht="30" customHeight="1">
      <c r="A3152" s="6">
        <v>3150</v>
      </c>
      <c r="B3152" s="6" t="str">
        <f>"299420210528170038110990"</f>
        <v>299420210528170038110990</v>
      </c>
      <c r="C3152" s="6" t="s">
        <v>1548</v>
      </c>
      <c r="D3152" s="6" t="str">
        <f>"彭颖"</f>
        <v>彭颖</v>
      </c>
      <c r="E3152" s="6" t="str">
        <f>"女"</f>
        <v>女</v>
      </c>
    </row>
    <row r="3153" spans="1:5" ht="30" customHeight="1">
      <c r="A3153" s="6">
        <v>3151</v>
      </c>
      <c r="B3153" s="6" t="str">
        <f>"299420210528174327111044"</f>
        <v>299420210528174327111044</v>
      </c>
      <c r="C3153" s="6" t="s">
        <v>1548</v>
      </c>
      <c r="D3153" s="6" t="str">
        <f>"王康岛"</f>
        <v>王康岛</v>
      </c>
      <c r="E3153" s="6" t="str">
        <f>"男"</f>
        <v>男</v>
      </c>
    </row>
    <row r="3154" spans="1:5" ht="30" customHeight="1">
      <c r="A3154" s="6">
        <v>3152</v>
      </c>
      <c r="B3154" s="6" t="str">
        <f>"299420210528212617111260"</f>
        <v>299420210528212617111260</v>
      </c>
      <c r="C3154" s="6" t="s">
        <v>1548</v>
      </c>
      <c r="D3154" s="6" t="str">
        <f>"庞世彤"</f>
        <v>庞世彤</v>
      </c>
      <c r="E3154" s="6" t="str">
        <f>"女"</f>
        <v>女</v>
      </c>
    </row>
    <row r="3155" spans="1:5" ht="30" customHeight="1">
      <c r="A3155" s="6">
        <v>3153</v>
      </c>
      <c r="B3155" s="6" t="str">
        <f>"299420210529100633111469"</f>
        <v>299420210529100633111469</v>
      </c>
      <c r="C3155" s="6" t="s">
        <v>1548</v>
      </c>
      <c r="D3155" s="6" t="str">
        <f>"胡容连"</f>
        <v>胡容连</v>
      </c>
      <c r="E3155" s="6" t="str">
        <f>"女"</f>
        <v>女</v>
      </c>
    </row>
    <row r="3156" spans="1:5" ht="30" customHeight="1">
      <c r="A3156" s="6">
        <v>3154</v>
      </c>
      <c r="B3156" s="6" t="str">
        <f>"299420210529105304111520"</f>
        <v>299420210529105304111520</v>
      </c>
      <c r="C3156" s="6" t="s">
        <v>1548</v>
      </c>
      <c r="D3156" s="6" t="str">
        <f>"胡情"</f>
        <v>胡情</v>
      </c>
      <c r="E3156" s="6" t="str">
        <f>"女"</f>
        <v>女</v>
      </c>
    </row>
    <row r="3157" spans="1:5" ht="30" customHeight="1">
      <c r="A3157" s="6">
        <v>3155</v>
      </c>
      <c r="B3157" s="6" t="str">
        <f>"299420210529110912111535"</f>
        <v>299420210529110912111535</v>
      </c>
      <c r="C3157" s="6" t="s">
        <v>1548</v>
      </c>
      <c r="D3157" s="6" t="str">
        <f>"潘在煌"</f>
        <v>潘在煌</v>
      </c>
      <c r="E3157" s="6" t="str">
        <f aca="true" t="shared" si="97" ref="E3157:E3162">"男"</f>
        <v>男</v>
      </c>
    </row>
    <row r="3158" spans="1:5" ht="30" customHeight="1">
      <c r="A3158" s="6">
        <v>3156</v>
      </c>
      <c r="B3158" s="6" t="str">
        <f>"299420210529114459111577"</f>
        <v>299420210529114459111577</v>
      </c>
      <c r="C3158" s="6" t="s">
        <v>1548</v>
      </c>
      <c r="D3158" s="6" t="str">
        <f>"邓论麟"</f>
        <v>邓论麟</v>
      </c>
      <c r="E3158" s="6" t="str">
        <f t="shared" si="97"/>
        <v>男</v>
      </c>
    </row>
    <row r="3159" spans="1:5" ht="30" customHeight="1">
      <c r="A3159" s="6">
        <v>3157</v>
      </c>
      <c r="B3159" s="6" t="str">
        <f>"299420210529152509111713"</f>
        <v>299420210529152509111713</v>
      </c>
      <c r="C3159" s="6" t="s">
        <v>1548</v>
      </c>
      <c r="D3159" s="6" t="str">
        <f>"张运仕"</f>
        <v>张运仕</v>
      </c>
      <c r="E3159" s="6" t="str">
        <f t="shared" si="97"/>
        <v>男</v>
      </c>
    </row>
    <row r="3160" spans="1:5" ht="30" customHeight="1">
      <c r="A3160" s="6">
        <v>3158</v>
      </c>
      <c r="B3160" s="6" t="str">
        <f>"299420210530104151112169"</f>
        <v>299420210530104151112169</v>
      </c>
      <c r="C3160" s="6" t="s">
        <v>1548</v>
      </c>
      <c r="D3160" s="6" t="str">
        <f>"王毓恒"</f>
        <v>王毓恒</v>
      </c>
      <c r="E3160" s="6" t="str">
        <f t="shared" si="97"/>
        <v>男</v>
      </c>
    </row>
    <row r="3161" spans="1:5" ht="30" customHeight="1">
      <c r="A3161" s="6">
        <v>3159</v>
      </c>
      <c r="B3161" s="6" t="str">
        <f>"299420210530110848112197"</f>
        <v>299420210530110848112197</v>
      </c>
      <c r="C3161" s="6" t="s">
        <v>1548</v>
      </c>
      <c r="D3161" s="6" t="str">
        <f>"麦发娱"</f>
        <v>麦发娱</v>
      </c>
      <c r="E3161" s="6" t="str">
        <f t="shared" si="97"/>
        <v>男</v>
      </c>
    </row>
    <row r="3162" spans="1:5" ht="30" customHeight="1">
      <c r="A3162" s="6">
        <v>3160</v>
      </c>
      <c r="B3162" s="6" t="str">
        <f>"299420210530173036112457"</f>
        <v>299420210530173036112457</v>
      </c>
      <c r="C3162" s="6" t="s">
        <v>1548</v>
      </c>
      <c r="D3162" s="6" t="str">
        <f>"张博"</f>
        <v>张博</v>
      </c>
      <c r="E3162" s="6" t="str">
        <f t="shared" si="97"/>
        <v>男</v>
      </c>
    </row>
    <row r="3163" spans="1:5" ht="30" customHeight="1">
      <c r="A3163" s="6">
        <v>3161</v>
      </c>
      <c r="B3163" s="6" t="str">
        <f>"299420210530180107112490"</f>
        <v>299420210530180107112490</v>
      </c>
      <c r="C3163" s="6" t="s">
        <v>1548</v>
      </c>
      <c r="D3163" s="6" t="str">
        <f>"张云帆"</f>
        <v>张云帆</v>
      </c>
      <c r="E3163" s="6" t="str">
        <f>"女"</f>
        <v>女</v>
      </c>
    </row>
    <row r="3164" spans="1:5" ht="30" customHeight="1">
      <c r="A3164" s="6">
        <v>3162</v>
      </c>
      <c r="B3164" s="6" t="str">
        <f>"299420210530201622112593"</f>
        <v>299420210530201622112593</v>
      </c>
      <c r="C3164" s="6" t="s">
        <v>1548</v>
      </c>
      <c r="D3164" s="6" t="str">
        <f>"董航"</f>
        <v>董航</v>
      </c>
      <c r="E3164" s="6" t="str">
        <f>"男"</f>
        <v>男</v>
      </c>
    </row>
    <row r="3165" spans="1:5" ht="30" customHeight="1">
      <c r="A3165" s="6">
        <v>3163</v>
      </c>
      <c r="B3165" s="6" t="str">
        <f>"299420210530210130112651"</f>
        <v>299420210530210130112651</v>
      </c>
      <c r="C3165" s="6" t="s">
        <v>1548</v>
      </c>
      <c r="D3165" s="6" t="str">
        <f>"彭崇浩"</f>
        <v>彭崇浩</v>
      </c>
      <c r="E3165" s="6" t="str">
        <f>"男"</f>
        <v>男</v>
      </c>
    </row>
    <row r="3166" spans="1:5" ht="30" customHeight="1">
      <c r="A3166" s="6">
        <v>3164</v>
      </c>
      <c r="B3166" s="6" t="str">
        <f>"299420210530210237112655"</f>
        <v>299420210530210237112655</v>
      </c>
      <c r="C3166" s="6" t="s">
        <v>1548</v>
      </c>
      <c r="D3166" s="6" t="str">
        <f>"林勇"</f>
        <v>林勇</v>
      </c>
      <c r="E3166" s="6" t="str">
        <f>"男"</f>
        <v>男</v>
      </c>
    </row>
    <row r="3167" spans="1:5" ht="30" customHeight="1">
      <c r="A3167" s="6">
        <v>3165</v>
      </c>
      <c r="B3167" s="6" t="str">
        <f>"299420210530212243112687"</f>
        <v>299420210530212243112687</v>
      </c>
      <c r="C3167" s="6" t="s">
        <v>1548</v>
      </c>
      <c r="D3167" s="6" t="str">
        <f>"符巨龙"</f>
        <v>符巨龙</v>
      </c>
      <c r="E3167" s="6" t="str">
        <f>"男"</f>
        <v>男</v>
      </c>
    </row>
    <row r="3168" spans="1:5" ht="30" customHeight="1">
      <c r="A3168" s="6">
        <v>3166</v>
      </c>
      <c r="B3168" s="6" t="str">
        <f>"299420210531020908112914"</f>
        <v>299420210531020908112914</v>
      </c>
      <c r="C3168" s="6" t="s">
        <v>1548</v>
      </c>
      <c r="D3168" s="6" t="str">
        <f>"郑从彪"</f>
        <v>郑从彪</v>
      </c>
      <c r="E3168" s="6" t="str">
        <f>"男"</f>
        <v>男</v>
      </c>
    </row>
    <row r="3169" spans="1:5" ht="30" customHeight="1">
      <c r="A3169" s="6">
        <v>3167</v>
      </c>
      <c r="B3169" s="6" t="str">
        <f>"299420210531070616112925"</f>
        <v>299420210531070616112925</v>
      </c>
      <c r="C3169" s="6" t="s">
        <v>1548</v>
      </c>
      <c r="D3169" s="6" t="str">
        <f>"邢婵"</f>
        <v>邢婵</v>
      </c>
      <c r="E3169" s="6" t="str">
        <f>"女"</f>
        <v>女</v>
      </c>
    </row>
    <row r="3170" spans="1:5" ht="30" customHeight="1">
      <c r="A3170" s="6">
        <v>3168</v>
      </c>
      <c r="B3170" s="6" t="str">
        <f>"299420210531095232113092"</f>
        <v>299420210531095232113092</v>
      </c>
      <c r="C3170" s="6" t="s">
        <v>1548</v>
      </c>
      <c r="D3170" s="6" t="str">
        <f>"周娇"</f>
        <v>周娇</v>
      </c>
      <c r="E3170" s="6" t="str">
        <f>"女"</f>
        <v>女</v>
      </c>
    </row>
    <row r="3171" spans="1:5" ht="30" customHeight="1">
      <c r="A3171" s="6">
        <v>3169</v>
      </c>
      <c r="B3171" s="6" t="str">
        <f>"299420210531101001113122"</f>
        <v>299420210531101001113122</v>
      </c>
      <c r="C3171" s="6" t="s">
        <v>1548</v>
      </c>
      <c r="D3171" s="6" t="str">
        <f>"康同同"</f>
        <v>康同同</v>
      </c>
      <c r="E3171" s="6" t="str">
        <f>"女"</f>
        <v>女</v>
      </c>
    </row>
    <row r="3172" spans="1:5" ht="30" customHeight="1">
      <c r="A3172" s="6">
        <v>3170</v>
      </c>
      <c r="B3172" s="6" t="str">
        <f>"299420210531103736113173"</f>
        <v>299420210531103736113173</v>
      </c>
      <c r="C3172" s="6" t="s">
        <v>1548</v>
      </c>
      <c r="D3172" s="6" t="str">
        <f>"黄雪贞"</f>
        <v>黄雪贞</v>
      </c>
      <c r="E3172" s="6" t="str">
        <f>"女"</f>
        <v>女</v>
      </c>
    </row>
    <row r="3173" spans="1:5" ht="30" customHeight="1">
      <c r="A3173" s="6">
        <v>3171</v>
      </c>
      <c r="B3173" s="6" t="str">
        <f>"299420210531131841113403"</f>
        <v>299420210531131841113403</v>
      </c>
      <c r="C3173" s="6" t="s">
        <v>1548</v>
      </c>
      <c r="D3173" s="6" t="str">
        <f>"卓多飞"</f>
        <v>卓多飞</v>
      </c>
      <c r="E3173" s="6" t="str">
        <f>"男"</f>
        <v>男</v>
      </c>
    </row>
    <row r="3174" spans="1:5" ht="30" customHeight="1">
      <c r="A3174" s="6">
        <v>3172</v>
      </c>
      <c r="B3174" s="6" t="str">
        <f>"299420210531132901113418"</f>
        <v>299420210531132901113418</v>
      </c>
      <c r="C3174" s="6" t="s">
        <v>1548</v>
      </c>
      <c r="D3174" s="6" t="str">
        <f>"欧开鹏"</f>
        <v>欧开鹏</v>
      </c>
      <c r="E3174" s="6" t="str">
        <f>"男"</f>
        <v>男</v>
      </c>
    </row>
    <row r="3175" spans="1:5" ht="30" customHeight="1">
      <c r="A3175" s="6">
        <v>3173</v>
      </c>
      <c r="B3175" s="6" t="str">
        <f>"299420210531133527113428"</f>
        <v>299420210531133527113428</v>
      </c>
      <c r="C3175" s="6" t="s">
        <v>1548</v>
      </c>
      <c r="D3175" s="6" t="str">
        <f>"苏旺海"</f>
        <v>苏旺海</v>
      </c>
      <c r="E3175" s="6" t="str">
        <f>"男"</f>
        <v>男</v>
      </c>
    </row>
    <row r="3176" spans="1:5" ht="30" customHeight="1">
      <c r="A3176" s="6">
        <v>3174</v>
      </c>
      <c r="B3176" s="6" t="str">
        <f>"299420210531144237113495"</f>
        <v>299420210531144237113495</v>
      </c>
      <c r="C3176" s="6" t="s">
        <v>1548</v>
      </c>
      <c r="D3176" s="6" t="str">
        <f>"李香俍"</f>
        <v>李香俍</v>
      </c>
      <c r="E3176" s="6" t="str">
        <f>"男"</f>
        <v>男</v>
      </c>
    </row>
    <row r="3177" spans="1:5" ht="30" customHeight="1">
      <c r="A3177" s="6">
        <v>3175</v>
      </c>
      <c r="B3177" s="6" t="str">
        <f>"299420210531150010113528"</f>
        <v>299420210531150010113528</v>
      </c>
      <c r="C3177" s="6" t="s">
        <v>1548</v>
      </c>
      <c r="D3177" s="6" t="str">
        <f>"张万玖"</f>
        <v>张万玖</v>
      </c>
      <c r="E3177" s="6" t="str">
        <f>"男"</f>
        <v>男</v>
      </c>
    </row>
    <row r="3178" spans="1:5" ht="30" customHeight="1">
      <c r="A3178" s="6">
        <v>3176</v>
      </c>
      <c r="B3178" s="6" t="str">
        <f>"299420210531163555113676"</f>
        <v>299420210531163555113676</v>
      </c>
      <c r="C3178" s="6" t="s">
        <v>1548</v>
      </c>
      <c r="D3178" s="6" t="str">
        <f>"冯秋琼"</f>
        <v>冯秋琼</v>
      </c>
      <c r="E3178" s="6" t="str">
        <f>"女"</f>
        <v>女</v>
      </c>
    </row>
    <row r="3179" spans="1:5" ht="30" customHeight="1">
      <c r="A3179" s="6">
        <v>3177</v>
      </c>
      <c r="B3179" s="6" t="str">
        <f>"299420210525090125104244"</f>
        <v>299420210525090125104244</v>
      </c>
      <c r="C3179" s="6" t="s">
        <v>1549</v>
      </c>
      <c r="D3179" s="6" t="str">
        <f>"肖晨"</f>
        <v>肖晨</v>
      </c>
      <c r="E3179" s="6" t="str">
        <f>"女"</f>
        <v>女</v>
      </c>
    </row>
    <row r="3180" spans="1:5" ht="30" customHeight="1">
      <c r="A3180" s="6">
        <v>3178</v>
      </c>
      <c r="B3180" s="6" t="str">
        <f>"299420210525090626104283"</f>
        <v>299420210525090626104283</v>
      </c>
      <c r="C3180" s="6" t="s">
        <v>1549</v>
      </c>
      <c r="D3180" s="6" t="str">
        <f>"周子煜"</f>
        <v>周子煜</v>
      </c>
      <c r="E3180" s="6" t="str">
        <f>"女"</f>
        <v>女</v>
      </c>
    </row>
    <row r="3181" spans="1:5" ht="30" customHeight="1">
      <c r="A3181" s="6">
        <v>3179</v>
      </c>
      <c r="B3181" s="6" t="str">
        <f>"299420210525090840104295"</f>
        <v>299420210525090840104295</v>
      </c>
      <c r="C3181" s="6" t="s">
        <v>1549</v>
      </c>
      <c r="D3181" s="6" t="str">
        <f>"王雅婷"</f>
        <v>王雅婷</v>
      </c>
      <c r="E3181" s="6" t="str">
        <f>"女"</f>
        <v>女</v>
      </c>
    </row>
    <row r="3182" spans="1:5" ht="30" customHeight="1">
      <c r="A3182" s="6">
        <v>3180</v>
      </c>
      <c r="B3182" s="6" t="str">
        <f>"299420210525091414104336"</f>
        <v>299420210525091414104336</v>
      </c>
      <c r="C3182" s="6" t="s">
        <v>1549</v>
      </c>
      <c r="D3182" s="6" t="str">
        <f>"吴恒菲"</f>
        <v>吴恒菲</v>
      </c>
      <c r="E3182" s="6" t="str">
        <f>"女"</f>
        <v>女</v>
      </c>
    </row>
    <row r="3183" spans="1:5" ht="30" customHeight="1">
      <c r="A3183" s="6">
        <v>3181</v>
      </c>
      <c r="B3183" s="6" t="str">
        <f>"299420210525091643104350"</f>
        <v>299420210525091643104350</v>
      </c>
      <c r="C3183" s="6" t="s">
        <v>1549</v>
      </c>
      <c r="D3183" s="6" t="str">
        <f>"罗阳"</f>
        <v>罗阳</v>
      </c>
      <c r="E3183" s="6" t="str">
        <f>"男"</f>
        <v>男</v>
      </c>
    </row>
    <row r="3184" spans="1:5" ht="30" customHeight="1">
      <c r="A3184" s="6">
        <v>3182</v>
      </c>
      <c r="B3184" s="6" t="str">
        <f>"299420210525091947104371"</f>
        <v>299420210525091947104371</v>
      </c>
      <c r="C3184" s="6" t="s">
        <v>1549</v>
      </c>
      <c r="D3184" s="6" t="str">
        <f>"李林青"</f>
        <v>李林青</v>
      </c>
      <c r="E3184" s="6" t="str">
        <f aca="true" t="shared" si="98" ref="E3184:E3200">"女"</f>
        <v>女</v>
      </c>
    </row>
    <row r="3185" spans="1:5" ht="30" customHeight="1">
      <c r="A3185" s="6">
        <v>3183</v>
      </c>
      <c r="B3185" s="6" t="str">
        <f>"299420210525092305104388"</f>
        <v>299420210525092305104388</v>
      </c>
      <c r="C3185" s="6" t="s">
        <v>1549</v>
      </c>
      <c r="D3185" s="6" t="str">
        <f>"林丽娜"</f>
        <v>林丽娜</v>
      </c>
      <c r="E3185" s="6" t="str">
        <f t="shared" si="98"/>
        <v>女</v>
      </c>
    </row>
    <row r="3186" spans="1:5" ht="30" customHeight="1">
      <c r="A3186" s="6">
        <v>3184</v>
      </c>
      <c r="B3186" s="6" t="str">
        <f>"299420210525095955104599"</f>
        <v>299420210525095955104599</v>
      </c>
      <c r="C3186" s="6" t="s">
        <v>1549</v>
      </c>
      <c r="D3186" s="6" t="str">
        <f>"孙乐莎"</f>
        <v>孙乐莎</v>
      </c>
      <c r="E3186" s="6" t="str">
        <f t="shared" si="98"/>
        <v>女</v>
      </c>
    </row>
    <row r="3187" spans="1:5" ht="30" customHeight="1">
      <c r="A3187" s="6">
        <v>3185</v>
      </c>
      <c r="B3187" s="6" t="str">
        <f>"299420210525101553104689"</f>
        <v>299420210525101553104689</v>
      </c>
      <c r="C3187" s="6" t="s">
        <v>1549</v>
      </c>
      <c r="D3187" s="6" t="str">
        <f>"曾巧"</f>
        <v>曾巧</v>
      </c>
      <c r="E3187" s="6" t="str">
        <f t="shared" si="98"/>
        <v>女</v>
      </c>
    </row>
    <row r="3188" spans="1:5" ht="30" customHeight="1">
      <c r="A3188" s="6">
        <v>3186</v>
      </c>
      <c r="B3188" s="6" t="str">
        <f>"299420210525110753104997"</f>
        <v>299420210525110753104997</v>
      </c>
      <c r="C3188" s="6" t="s">
        <v>1549</v>
      </c>
      <c r="D3188" s="6" t="str">
        <f>"陈云"</f>
        <v>陈云</v>
      </c>
      <c r="E3188" s="6" t="str">
        <f t="shared" si="98"/>
        <v>女</v>
      </c>
    </row>
    <row r="3189" spans="1:5" ht="30" customHeight="1">
      <c r="A3189" s="6">
        <v>3187</v>
      </c>
      <c r="B3189" s="6" t="str">
        <f>"299420210525115451105205"</f>
        <v>299420210525115451105205</v>
      </c>
      <c r="C3189" s="6" t="s">
        <v>1549</v>
      </c>
      <c r="D3189" s="6" t="str">
        <f>"李媛媛"</f>
        <v>李媛媛</v>
      </c>
      <c r="E3189" s="6" t="str">
        <f t="shared" si="98"/>
        <v>女</v>
      </c>
    </row>
    <row r="3190" spans="1:5" ht="30" customHeight="1">
      <c r="A3190" s="6">
        <v>3188</v>
      </c>
      <c r="B3190" s="6" t="str">
        <f>"299420210525121357105280"</f>
        <v>299420210525121357105280</v>
      </c>
      <c r="C3190" s="6" t="s">
        <v>1549</v>
      </c>
      <c r="D3190" s="6" t="str">
        <f>"黄香郁"</f>
        <v>黄香郁</v>
      </c>
      <c r="E3190" s="6" t="str">
        <f t="shared" si="98"/>
        <v>女</v>
      </c>
    </row>
    <row r="3191" spans="1:5" ht="30" customHeight="1">
      <c r="A3191" s="6">
        <v>3189</v>
      </c>
      <c r="B3191" s="6" t="str">
        <f>"299420210525123745105364"</f>
        <v>299420210525123745105364</v>
      </c>
      <c r="C3191" s="6" t="s">
        <v>1549</v>
      </c>
      <c r="D3191" s="6" t="str">
        <f>"郭鑫蓉"</f>
        <v>郭鑫蓉</v>
      </c>
      <c r="E3191" s="6" t="str">
        <f t="shared" si="98"/>
        <v>女</v>
      </c>
    </row>
    <row r="3192" spans="1:5" ht="30" customHeight="1">
      <c r="A3192" s="6">
        <v>3190</v>
      </c>
      <c r="B3192" s="6" t="str">
        <f>"299420210525124802105408"</f>
        <v>299420210525124802105408</v>
      </c>
      <c r="C3192" s="6" t="s">
        <v>1549</v>
      </c>
      <c r="D3192" s="6" t="str">
        <f>"彭丽曼"</f>
        <v>彭丽曼</v>
      </c>
      <c r="E3192" s="6" t="str">
        <f t="shared" si="98"/>
        <v>女</v>
      </c>
    </row>
    <row r="3193" spans="1:5" ht="30" customHeight="1">
      <c r="A3193" s="6">
        <v>3191</v>
      </c>
      <c r="B3193" s="6" t="str">
        <f>"299420210525125855105436"</f>
        <v>299420210525125855105436</v>
      </c>
      <c r="C3193" s="6" t="s">
        <v>1549</v>
      </c>
      <c r="D3193" s="6" t="str">
        <f>"陈祖妃"</f>
        <v>陈祖妃</v>
      </c>
      <c r="E3193" s="6" t="str">
        <f t="shared" si="98"/>
        <v>女</v>
      </c>
    </row>
    <row r="3194" spans="1:5" ht="30" customHeight="1">
      <c r="A3194" s="6">
        <v>3192</v>
      </c>
      <c r="B3194" s="6" t="str">
        <f>"299420210525130324105452"</f>
        <v>299420210525130324105452</v>
      </c>
      <c r="C3194" s="6" t="s">
        <v>1549</v>
      </c>
      <c r="D3194" s="6" t="str">
        <f>"李尧"</f>
        <v>李尧</v>
      </c>
      <c r="E3194" s="6" t="str">
        <f t="shared" si="98"/>
        <v>女</v>
      </c>
    </row>
    <row r="3195" spans="1:5" ht="30" customHeight="1">
      <c r="A3195" s="6">
        <v>3193</v>
      </c>
      <c r="B3195" s="6" t="str">
        <f>"299420210525135932105549"</f>
        <v>299420210525135932105549</v>
      </c>
      <c r="C3195" s="6" t="s">
        <v>1549</v>
      </c>
      <c r="D3195" s="6" t="str">
        <f>"邹惠钧"</f>
        <v>邹惠钧</v>
      </c>
      <c r="E3195" s="6" t="str">
        <f t="shared" si="98"/>
        <v>女</v>
      </c>
    </row>
    <row r="3196" spans="1:5" ht="30" customHeight="1">
      <c r="A3196" s="6">
        <v>3194</v>
      </c>
      <c r="B3196" s="6" t="str">
        <f>"299420210525144927105630"</f>
        <v>299420210525144927105630</v>
      </c>
      <c r="C3196" s="6" t="s">
        <v>1549</v>
      </c>
      <c r="D3196" s="6" t="str">
        <f>"王花好"</f>
        <v>王花好</v>
      </c>
      <c r="E3196" s="6" t="str">
        <f t="shared" si="98"/>
        <v>女</v>
      </c>
    </row>
    <row r="3197" spans="1:5" ht="30" customHeight="1">
      <c r="A3197" s="6">
        <v>3195</v>
      </c>
      <c r="B3197" s="6" t="str">
        <f>"299420210525145020105632"</f>
        <v>299420210525145020105632</v>
      </c>
      <c r="C3197" s="6" t="s">
        <v>1549</v>
      </c>
      <c r="D3197" s="6" t="str">
        <f>"邱依婷"</f>
        <v>邱依婷</v>
      </c>
      <c r="E3197" s="6" t="str">
        <f t="shared" si="98"/>
        <v>女</v>
      </c>
    </row>
    <row r="3198" spans="1:5" ht="30" customHeight="1">
      <c r="A3198" s="6">
        <v>3196</v>
      </c>
      <c r="B3198" s="6" t="str">
        <f>"299420210525152725105744"</f>
        <v>299420210525152725105744</v>
      </c>
      <c r="C3198" s="6" t="s">
        <v>1549</v>
      </c>
      <c r="D3198" s="6" t="str">
        <f>"李玉"</f>
        <v>李玉</v>
      </c>
      <c r="E3198" s="6" t="str">
        <f t="shared" si="98"/>
        <v>女</v>
      </c>
    </row>
    <row r="3199" spans="1:5" ht="30" customHeight="1">
      <c r="A3199" s="6">
        <v>3197</v>
      </c>
      <c r="B3199" s="6" t="str">
        <f>"299420210525153449105766"</f>
        <v>299420210525153449105766</v>
      </c>
      <c r="C3199" s="6" t="s">
        <v>1549</v>
      </c>
      <c r="D3199" s="6" t="str">
        <f>"高媛"</f>
        <v>高媛</v>
      </c>
      <c r="E3199" s="6" t="str">
        <f t="shared" si="98"/>
        <v>女</v>
      </c>
    </row>
    <row r="3200" spans="1:5" ht="30" customHeight="1">
      <c r="A3200" s="6">
        <v>3198</v>
      </c>
      <c r="B3200" s="6" t="str">
        <f>"299420210525155935105846"</f>
        <v>299420210525155935105846</v>
      </c>
      <c r="C3200" s="6" t="s">
        <v>1549</v>
      </c>
      <c r="D3200" s="6" t="str">
        <f>"王小佩"</f>
        <v>王小佩</v>
      </c>
      <c r="E3200" s="6" t="str">
        <f t="shared" si="98"/>
        <v>女</v>
      </c>
    </row>
    <row r="3201" spans="1:5" ht="30" customHeight="1">
      <c r="A3201" s="6">
        <v>3199</v>
      </c>
      <c r="B3201" s="6" t="str">
        <f>"299420210525164350105977"</f>
        <v>299420210525164350105977</v>
      </c>
      <c r="C3201" s="6" t="s">
        <v>1549</v>
      </c>
      <c r="D3201" s="6" t="str">
        <f>"林道光"</f>
        <v>林道光</v>
      </c>
      <c r="E3201" s="6" t="str">
        <f>"男"</f>
        <v>男</v>
      </c>
    </row>
    <row r="3202" spans="1:5" ht="30" customHeight="1">
      <c r="A3202" s="6">
        <v>3200</v>
      </c>
      <c r="B3202" s="6" t="str">
        <f>"299420210525164439105982"</f>
        <v>299420210525164439105982</v>
      </c>
      <c r="C3202" s="6" t="s">
        <v>1549</v>
      </c>
      <c r="D3202" s="6" t="str">
        <f>"蒋晶晶"</f>
        <v>蒋晶晶</v>
      </c>
      <c r="E3202" s="6" t="str">
        <f aca="true" t="shared" si="99" ref="E3202:E3207">"女"</f>
        <v>女</v>
      </c>
    </row>
    <row r="3203" spans="1:5" ht="30" customHeight="1">
      <c r="A3203" s="6">
        <v>3201</v>
      </c>
      <c r="B3203" s="6" t="str">
        <f>"299420210525215350106685"</f>
        <v>299420210525215350106685</v>
      </c>
      <c r="C3203" s="6" t="s">
        <v>1549</v>
      </c>
      <c r="D3203" s="6" t="str">
        <f>"王娟"</f>
        <v>王娟</v>
      </c>
      <c r="E3203" s="6" t="str">
        <f t="shared" si="99"/>
        <v>女</v>
      </c>
    </row>
    <row r="3204" spans="1:5" ht="30" customHeight="1">
      <c r="A3204" s="6">
        <v>3202</v>
      </c>
      <c r="B3204" s="6" t="str">
        <f>"299420210525224106106787"</f>
        <v>299420210525224106106787</v>
      </c>
      <c r="C3204" s="6" t="s">
        <v>1549</v>
      </c>
      <c r="D3204" s="6" t="str">
        <f>"王和青"</f>
        <v>王和青</v>
      </c>
      <c r="E3204" s="6" t="str">
        <f t="shared" si="99"/>
        <v>女</v>
      </c>
    </row>
    <row r="3205" spans="1:5" ht="30" customHeight="1">
      <c r="A3205" s="6">
        <v>3203</v>
      </c>
      <c r="B3205" s="6" t="str">
        <f>"299420210525224238106792"</f>
        <v>299420210525224238106792</v>
      </c>
      <c r="C3205" s="6" t="s">
        <v>1549</v>
      </c>
      <c r="D3205" s="6" t="str">
        <f>"陈小欢"</f>
        <v>陈小欢</v>
      </c>
      <c r="E3205" s="6" t="str">
        <f t="shared" si="99"/>
        <v>女</v>
      </c>
    </row>
    <row r="3206" spans="1:5" ht="30" customHeight="1">
      <c r="A3206" s="6">
        <v>3204</v>
      </c>
      <c r="B3206" s="6" t="str">
        <f>"299420210526083604107016"</f>
        <v>299420210526083604107016</v>
      </c>
      <c r="C3206" s="6" t="s">
        <v>1549</v>
      </c>
      <c r="D3206" s="6" t="str">
        <f>"潘白雪"</f>
        <v>潘白雪</v>
      </c>
      <c r="E3206" s="6" t="str">
        <f t="shared" si="99"/>
        <v>女</v>
      </c>
    </row>
    <row r="3207" spans="1:5" ht="30" customHeight="1">
      <c r="A3207" s="6">
        <v>3205</v>
      </c>
      <c r="B3207" s="6" t="str">
        <f>"299420210526083722107021"</f>
        <v>299420210526083722107021</v>
      </c>
      <c r="C3207" s="6" t="s">
        <v>1549</v>
      </c>
      <c r="D3207" s="6" t="str">
        <f>"陈蕊"</f>
        <v>陈蕊</v>
      </c>
      <c r="E3207" s="6" t="str">
        <f t="shared" si="99"/>
        <v>女</v>
      </c>
    </row>
    <row r="3208" spans="1:5" ht="30" customHeight="1">
      <c r="A3208" s="6">
        <v>3206</v>
      </c>
      <c r="B3208" s="6" t="str">
        <f>"299420210526104517107312"</f>
        <v>299420210526104517107312</v>
      </c>
      <c r="C3208" s="6" t="s">
        <v>1549</v>
      </c>
      <c r="D3208" s="6" t="str">
        <f>"李家聪"</f>
        <v>李家聪</v>
      </c>
      <c r="E3208" s="6" t="str">
        <f>"男"</f>
        <v>男</v>
      </c>
    </row>
    <row r="3209" spans="1:5" ht="30" customHeight="1">
      <c r="A3209" s="6">
        <v>3207</v>
      </c>
      <c r="B3209" s="6" t="str">
        <f>"299420210526112423107406"</f>
        <v>299420210526112423107406</v>
      </c>
      <c r="C3209" s="6" t="s">
        <v>1549</v>
      </c>
      <c r="D3209" s="6" t="str">
        <f>"林莉"</f>
        <v>林莉</v>
      </c>
      <c r="E3209" s="6" t="str">
        <f aca="true" t="shared" si="100" ref="E3209:E3219">"女"</f>
        <v>女</v>
      </c>
    </row>
    <row r="3210" spans="1:5" ht="30" customHeight="1">
      <c r="A3210" s="6">
        <v>3208</v>
      </c>
      <c r="B3210" s="6" t="str">
        <f>"299420210526113314107420"</f>
        <v>299420210526113314107420</v>
      </c>
      <c r="C3210" s="6" t="s">
        <v>1549</v>
      </c>
      <c r="D3210" s="6" t="str">
        <f>"邓小娜"</f>
        <v>邓小娜</v>
      </c>
      <c r="E3210" s="6" t="str">
        <f t="shared" si="100"/>
        <v>女</v>
      </c>
    </row>
    <row r="3211" spans="1:5" ht="30" customHeight="1">
      <c r="A3211" s="6">
        <v>3209</v>
      </c>
      <c r="B3211" s="6" t="str">
        <f>"299420210526114256107437"</f>
        <v>299420210526114256107437</v>
      </c>
      <c r="C3211" s="6" t="s">
        <v>1549</v>
      </c>
      <c r="D3211" s="6" t="str">
        <f>"黄晓宁"</f>
        <v>黄晓宁</v>
      </c>
      <c r="E3211" s="6" t="str">
        <f t="shared" si="100"/>
        <v>女</v>
      </c>
    </row>
    <row r="3212" spans="1:5" ht="30" customHeight="1">
      <c r="A3212" s="6">
        <v>3210</v>
      </c>
      <c r="B3212" s="6" t="str">
        <f>"299420210526115530107461"</f>
        <v>299420210526115530107461</v>
      </c>
      <c r="C3212" s="6" t="s">
        <v>1549</v>
      </c>
      <c r="D3212" s="6" t="str">
        <f>"王妙玲"</f>
        <v>王妙玲</v>
      </c>
      <c r="E3212" s="6" t="str">
        <f t="shared" si="100"/>
        <v>女</v>
      </c>
    </row>
    <row r="3213" spans="1:5" ht="30" customHeight="1">
      <c r="A3213" s="6">
        <v>3211</v>
      </c>
      <c r="B3213" s="6" t="str">
        <f>"299420210526151053107755"</f>
        <v>299420210526151053107755</v>
      </c>
      <c r="C3213" s="6" t="s">
        <v>1549</v>
      </c>
      <c r="D3213" s="6" t="str">
        <f>"罗忠晓"</f>
        <v>罗忠晓</v>
      </c>
      <c r="E3213" s="6" t="str">
        <f t="shared" si="100"/>
        <v>女</v>
      </c>
    </row>
    <row r="3214" spans="1:5" ht="30" customHeight="1">
      <c r="A3214" s="6">
        <v>3212</v>
      </c>
      <c r="B3214" s="6" t="str">
        <f>"299420210526151228107758"</f>
        <v>299420210526151228107758</v>
      </c>
      <c r="C3214" s="6" t="s">
        <v>1549</v>
      </c>
      <c r="D3214" s="6" t="str">
        <f>"郭飞雪"</f>
        <v>郭飞雪</v>
      </c>
      <c r="E3214" s="6" t="str">
        <f t="shared" si="100"/>
        <v>女</v>
      </c>
    </row>
    <row r="3215" spans="1:5" ht="30" customHeight="1">
      <c r="A3215" s="6">
        <v>3213</v>
      </c>
      <c r="B3215" s="6" t="str">
        <f>"299420210526164753107950"</f>
        <v>299420210526164753107950</v>
      </c>
      <c r="C3215" s="6" t="s">
        <v>1549</v>
      </c>
      <c r="D3215" s="6" t="str">
        <f>"张丹莹"</f>
        <v>张丹莹</v>
      </c>
      <c r="E3215" s="6" t="str">
        <f t="shared" si="100"/>
        <v>女</v>
      </c>
    </row>
    <row r="3216" spans="1:5" ht="30" customHeight="1">
      <c r="A3216" s="6">
        <v>3214</v>
      </c>
      <c r="B3216" s="6" t="str">
        <f>"299420210526171934108007"</f>
        <v>299420210526171934108007</v>
      </c>
      <c r="C3216" s="6" t="s">
        <v>1549</v>
      </c>
      <c r="D3216" s="6" t="str">
        <f>"欧阳鸿霞"</f>
        <v>欧阳鸿霞</v>
      </c>
      <c r="E3216" s="6" t="str">
        <f t="shared" si="100"/>
        <v>女</v>
      </c>
    </row>
    <row r="3217" spans="1:5" ht="30" customHeight="1">
      <c r="A3217" s="6">
        <v>3215</v>
      </c>
      <c r="B3217" s="6" t="str">
        <f>"299420210526173926108041"</f>
        <v>299420210526173926108041</v>
      </c>
      <c r="C3217" s="6" t="s">
        <v>1549</v>
      </c>
      <c r="D3217" s="6" t="str">
        <f>"曲嘉兵"</f>
        <v>曲嘉兵</v>
      </c>
      <c r="E3217" s="6" t="str">
        <f t="shared" si="100"/>
        <v>女</v>
      </c>
    </row>
    <row r="3218" spans="1:5" ht="30" customHeight="1">
      <c r="A3218" s="6">
        <v>3216</v>
      </c>
      <c r="B3218" s="6" t="str">
        <f>"299420210526183449108136"</f>
        <v>299420210526183449108136</v>
      </c>
      <c r="C3218" s="6" t="s">
        <v>1549</v>
      </c>
      <c r="D3218" s="6" t="str">
        <f>"刘清璇"</f>
        <v>刘清璇</v>
      </c>
      <c r="E3218" s="6" t="str">
        <f t="shared" si="100"/>
        <v>女</v>
      </c>
    </row>
    <row r="3219" spans="1:5" ht="30" customHeight="1">
      <c r="A3219" s="6">
        <v>3217</v>
      </c>
      <c r="B3219" s="6" t="str">
        <f>"299420210526205315108382"</f>
        <v>299420210526205315108382</v>
      </c>
      <c r="C3219" s="6" t="s">
        <v>1549</v>
      </c>
      <c r="D3219" s="6" t="str">
        <f>"卓蕾"</f>
        <v>卓蕾</v>
      </c>
      <c r="E3219" s="6" t="str">
        <f t="shared" si="100"/>
        <v>女</v>
      </c>
    </row>
    <row r="3220" spans="1:5" ht="30" customHeight="1">
      <c r="A3220" s="6">
        <v>3218</v>
      </c>
      <c r="B3220" s="6" t="str">
        <f>"299420210526211504108434"</f>
        <v>299420210526211504108434</v>
      </c>
      <c r="C3220" s="6" t="s">
        <v>1549</v>
      </c>
      <c r="D3220" s="6" t="str">
        <f>"林琼俊"</f>
        <v>林琼俊</v>
      </c>
      <c r="E3220" s="6" t="str">
        <f>"男"</f>
        <v>男</v>
      </c>
    </row>
    <row r="3221" spans="1:5" ht="30" customHeight="1">
      <c r="A3221" s="6">
        <v>3219</v>
      </c>
      <c r="B3221" s="6" t="str">
        <f>"299420210526213111108467"</f>
        <v>299420210526213111108467</v>
      </c>
      <c r="C3221" s="6" t="s">
        <v>1549</v>
      </c>
      <c r="D3221" s="6" t="str">
        <f>"刘世宏"</f>
        <v>刘世宏</v>
      </c>
      <c r="E3221" s="6" t="str">
        <f>"男"</f>
        <v>男</v>
      </c>
    </row>
    <row r="3222" spans="1:5" ht="30" customHeight="1">
      <c r="A3222" s="6">
        <v>3220</v>
      </c>
      <c r="B3222" s="6" t="str">
        <f>"299420210526215047108506"</f>
        <v>299420210526215047108506</v>
      </c>
      <c r="C3222" s="6" t="s">
        <v>1549</v>
      </c>
      <c r="D3222" s="6" t="str">
        <f>"吕相璋"</f>
        <v>吕相璋</v>
      </c>
      <c r="E3222" s="6" t="str">
        <f>"男"</f>
        <v>男</v>
      </c>
    </row>
    <row r="3223" spans="1:5" ht="30" customHeight="1">
      <c r="A3223" s="6">
        <v>3221</v>
      </c>
      <c r="B3223" s="6" t="str">
        <f>"299420210526221523108577"</f>
        <v>299420210526221523108577</v>
      </c>
      <c r="C3223" s="6" t="s">
        <v>1549</v>
      </c>
      <c r="D3223" s="6" t="str">
        <f>"廖昕祺"</f>
        <v>廖昕祺</v>
      </c>
      <c r="E3223" s="6" t="str">
        <f aca="true" t="shared" si="101" ref="E3223:E3232">"女"</f>
        <v>女</v>
      </c>
    </row>
    <row r="3224" spans="1:5" ht="30" customHeight="1">
      <c r="A3224" s="6">
        <v>3222</v>
      </c>
      <c r="B3224" s="6" t="str">
        <f>"299420210526223347108611"</f>
        <v>299420210526223347108611</v>
      </c>
      <c r="C3224" s="6" t="s">
        <v>1549</v>
      </c>
      <c r="D3224" s="6" t="str">
        <f>"聂长秀"</f>
        <v>聂长秀</v>
      </c>
      <c r="E3224" s="6" t="str">
        <f t="shared" si="101"/>
        <v>女</v>
      </c>
    </row>
    <row r="3225" spans="1:5" ht="30" customHeight="1">
      <c r="A3225" s="6">
        <v>3223</v>
      </c>
      <c r="B3225" s="6" t="str">
        <f>"299420210526225129108649"</f>
        <v>299420210526225129108649</v>
      </c>
      <c r="C3225" s="6" t="s">
        <v>1549</v>
      </c>
      <c r="D3225" s="6" t="str">
        <f>"梁敏莉"</f>
        <v>梁敏莉</v>
      </c>
      <c r="E3225" s="6" t="str">
        <f t="shared" si="101"/>
        <v>女</v>
      </c>
    </row>
    <row r="3226" spans="1:5" ht="30" customHeight="1">
      <c r="A3226" s="6">
        <v>3224</v>
      </c>
      <c r="B3226" s="6" t="str">
        <f>"299420210526225835108657"</f>
        <v>299420210526225835108657</v>
      </c>
      <c r="C3226" s="6" t="s">
        <v>1549</v>
      </c>
      <c r="D3226" s="6" t="str">
        <f>"陈敏"</f>
        <v>陈敏</v>
      </c>
      <c r="E3226" s="6" t="str">
        <f t="shared" si="101"/>
        <v>女</v>
      </c>
    </row>
    <row r="3227" spans="1:5" ht="30" customHeight="1">
      <c r="A3227" s="6">
        <v>3225</v>
      </c>
      <c r="B3227" s="6" t="str">
        <f>"299420210527084724108864"</f>
        <v>299420210527084724108864</v>
      </c>
      <c r="C3227" s="6" t="s">
        <v>1549</v>
      </c>
      <c r="D3227" s="6" t="str">
        <f>"王孟牙"</f>
        <v>王孟牙</v>
      </c>
      <c r="E3227" s="6" t="str">
        <f t="shared" si="101"/>
        <v>女</v>
      </c>
    </row>
    <row r="3228" spans="1:5" ht="30" customHeight="1">
      <c r="A3228" s="6">
        <v>3226</v>
      </c>
      <c r="B3228" s="6" t="str">
        <f>"299420210527085126108869"</f>
        <v>299420210527085126108869</v>
      </c>
      <c r="C3228" s="6" t="s">
        <v>1549</v>
      </c>
      <c r="D3228" s="6" t="str">
        <f>"卓亚妹"</f>
        <v>卓亚妹</v>
      </c>
      <c r="E3228" s="6" t="str">
        <f t="shared" si="101"/>
        <v>女</v>
      </c>
    </row>
    <row r="3229" spans="1:5" ht="30" customHeight="1">
      <c r="A3229" s="6">
        <v>3227</v>
      </c>
      <c r="B3229" s="6" t="str">
        <f>"299420210527092157108915"</f>
        <v>299420210527092157108915</v>
      </c>
      <c r="C3229" s="6" t="s">
        <v>1549</v>
      </c>
      <c r="D3229" s="6" t="str">
        <f>"陈玙璠"</f>
        <v>陈玙璠</v>
      </c>
      <c r="E3229" s="6" t="str">
        <f t="shared" si="101"/>
        <v>女</v>
      </c>
    </row>
    <row r="3230" spans="1:5" ht="30" customHeight="1">
      <c r="A3230" s="6">
        <v>3228</v>
      </c>
      <c r="B3230" s="6" t="str">
        <f>"299420210527093603108944"</f>
        <v>299420210527093603108944</v>
      </c>
      <c r="C3230" s="6" t="s">
        <v>1549</v>
      </c>
      <c r="D3230" s="6" t="str">
        <f>"冯荟霖"</f>
        <v>冯荟霖</v>
      </c>
      <c r="E3230" s="6" t="str">
        <f t="shared" si="101"/>
        <v>女</v>
      </c>
    </row>
    <row r="3231" spans="1:5" ht="30" customHeight="1">
      <c r="A3231" s="6">
        <v>3229</v>
      </c>
      <c r="B3231" s="6" t="str">
        <f>"299420210527095755108978"</f>
        <v>299420210527095755108978</v>
      </c>
      <c r="C3231" s="6" t="s">
        <v>1549</v>
      </c>
      <c r="D3231" s="6" t="str">
        <f>"吴丹"</f>
        <v>吴丹</v>
      </c>
      <c r="E3231" s="6" t="str">
        <f t="shared" si="101"/>
        <v>女</v>
      </c>
    </row>
    <row r="3232" spans="1:5" ht="30" customHeight="1">
      <c r="A3232" s="6">
        <v>3230</v>
      </c>
      <c r="B3232" s="6" t="str">
        <f>"299420210527104747109082"</f>
        <v>299420210527104747109082</v>
      </c>
      <c r="C3232" s="6" t="s">
        <v>1549</v>
      </c>
      <c r="D3232" s="6" t="str">
        <f>"韩丽芳"</f>
        <v>韩丽芳</v>
      </c>
      <c r="E3232" s="6" t="str">
        <f t="shared" si="101"/>
        <v>女</v>
      </c>
    </row>
    <row r="3233" spans="1:5" ht="30" customHeight="1">
      <c r="A3233" s="6">
        <v>3231</v>
      </c>
      <c r="B3233" s="6" t="str">
        <f>"299420210527105226109092"</f>
        <v>299420210527105226109092</v>
      </c>
      <c r="C3233" s="6" t="s">
        <v>1549</v>
      </c>
      <c r="D3233" s="6" t="str">
        <f>"卢哨"</f>
        <v>卢哨</v>
      </c>
      <c r="E3233" s="6" t="str">
        <f>"男"</f>
        <v>男</v>
      </c>
    </row>
    <row r="3234" spans="1:5" ht="30" customHeight="1">
      <c r="A3234" s="6">
        <v>3232</v>
      </c>
      <c r="B3234" s="6" t="str">
        <f>"299420210527113620109170"</f>
        <v>299420210527113620109170</v>
      </c>
      <c r="C3234" s="6" t="s">
        <v>1549</v>
      </c>
      <c r="D3234" s="6" t="str">
        <f>"王彬彬"</f>
        <v>王彬彬</v>
      </c>
      <c r="E3234" s="6" t="str">
        <f aca="true" t="shared" si="102" ref="E3234:E3241">"女"</f>
        <v>女</v>
      </c>
    </row>
    <row r="3235" spans="1:5" ht="30" customHeight="1">
      <c r="A3235" s="6">
        <v>3233</v>
      </c>
      <c r="B3235" s="6" t="str">
        <f>"299420210527140947109346"</f>
        <v>299420210527140947109346</v>
      </c>
      <c r="C3235" s="6" t="s">
        <v>1549</v>
      </c>
      <c r="D3235" s="6" t="str">
        <f>"吕靖超"</f>
        <v>吕靖超</v>
      </c>
      <c r="E3235" s="6" t="str">
        <f t="shared" si="102"/>
        <v>女</v>
      </c>
    </row>
    <row r="3236" spans="1:5" ht="30" customHeight="1">
      <c r="A3236" s="6">
        <v>3234</v>
      </c>
      <c r="B3236" s="6" t="str">
        <f>"299420210527154327109479"</f>
        <v>299420210527154327109479</v>
      </c>
      <c r="C3236" s="6" t="s">
        <v>1549</v>
      </c>
      <c r="D3236" s="6" t="str">
        <f>"柯春娜"</f>
        <v>柯春娜</v>
      </c>
      <c r="E3236" s="6" t="str">
        <f t="shared" si="102"/>
        <v>女</v>
      </c>
    </row>
    <row r="3237" spans="1:5" ht="30" customHeight="1">
      <c r="A3237" s="6">
        <v>3235</v>
      </c>
      <c r="B3237" s="6" t="str">
        <f>"299420210527160029109514"</f>
        <v>299420210527160029109514</v>
      </c>
      <c r="C3237" s="6" t="s">
        <v>1549</v>
      </c>
      <c r="D3237" s="6" t="str">
        <f>"关弘"</f>
        <v>关弘</v>
      </c>
      <c r="E3237" s="6" t="str">
        <f t="shared" si="102"/>
        <v>女</v>
      </c>
    </row>
    <row r="3238" spans="1:5" ht="30" customHeight="1">
      <c r="A3238" s="6">
        <v>3236</v>
      </c>
      <c r="B3238" s="6" t="str">
        <f>"299420210527180249109723"</f>
        <v>299420210527180249109723</v>
      </c>
      <c r="C3238" s="6" t="s">
        <v>1549</v>
      </c>
      <c r="D3238" s="6" t="str">
        <f>"苏菲菲"</f>
        <v>苏菲菲</v>
      </c>
      <c r="E3238" s="6" t="str">
        <f t="shared" si="102"/>
        <v>女</v>
      </c>
    </row>
    <row r="3239" spans="1:5" ht="30" customHeight="1">
      <c r="A3239" s="6">
        <v>3237</v>
      </c>
      <c r="B3239" s="6" t="str">
        <f>"299420210527182218109743"</f>
        <v>299420210527182218109743</v>
      </c>
      <c r="C3239" s="6" t="s">
        <v>1549</v>
      </c>
      <c r="D3239" s="6" t="str">
        <f>"汪菁菁"</f>
        <v>汪菁菁</v>
      </c>
      <c r="E3239" s="6" t="str">
        <f t="shared" si="102"/>
        <v>女</v>
      </c>
    </row>
    <row r="3240" spans="1:5" ht="30" customHeight="1">
      <c r="A3240" s="6">
        <v>3238</v>
      </c>
      <c r="B3240" s="6" t="str">
        <f>"299420210527222339110050"</f>
        <v>299420210527222339110050</v>
      </c>
      <c r="C3240" s="6" t="s">
        <v>1549</v>
      </c>
      <c r="D3240" s="6" t="str">
        <f>"吴林真"</f>
        <v>吴林真</v>
      </c>
      <c r="E3240" s="6" t="str">
        <f t="shared" si="102"/>
        <v>女</v>
      </c>
    </row>
    <row r="3241" spans="1:5" ht="30" customHeight="1">
      <c r="A3241" s="6">
        <v>3239</v>
      </c>
      <c r="B3241" s="6" t="str">
        <f>"299420210527223036110058"</f>
        <v>299420210527223036110058</v>
      </c>
      <c r="C3241" s="6" t="s">
        <v>1549</v>
      </c>
      <c r="D3241" s="6" t="str">
        <f>"熊玉怀"</f>
        <v>熊玉怀</v>
      </c>
      <c r="E3241" s="6" t="str">
        <f t="shared" si="102"/>
        <v>女</v>
      </c>
    </row>
    <row r="3242" spans="1:5" ht="30" customHeight="1">
      <c r="A3242" s="6">
        <v>3240</v>
      </c>
      <c r="B3242" s="6" t="str">
        <f>"299420210527223209110063"</f>
        <v>299420210527223209110063</v>
      </c>
      <c r="C3242" s="6" t="s">
        <v>1549</v>
      </c>
      <c r="D3242" s="6" t="str">
        <f>"刘春雨"</f>
        <v>刘春雨</v>
      </c>
      <c r="E3242" s="6" t="str">
        <f>"男"</f>
        <v>男</v>
      </c>
    </row>
    <row r="3243" spans="1:5" ht="30" customHeight="1">
      <c r="A3243" s="6">
        <v>3241</v>
      </c>
      <c r="B3243" s="6" t="str">
        <f>"299420210527233808110137"</f>
        <v>299420210527233808110137</v>
      </c>
      <c r="C3243" s="6" t="s">
        <v>1549</v>
      </c>
      <c r="D3243" s="6" t="str">
        <f>"赵香玉"</f>
        <v>赵香玉</v>
      </c>
      <c r="E3243" s="6" t="str">
        <f aca="true" t="shared" si="103" ref="E3243:E3253">"女"</f>
        <v>女</v>
      </c>
    </row>
    <row r="3244" spans="1:5" ht="30" customHeight="1">
      <c r="A3244" s="6">
        <v>3242</v>
      </c>
      <c r="B3244" s="6" t="str">
        <f>"299420210528081426110202"</f>
        <v>299420210528081426110202</v>
      </c>
      <c r="C3244" s="6" t="s">
        <v>1549</v>
      </c>
      <c r="D3244" s="6" t="str">
        <f>"甘怀霜"</f>
        <v>甘怀霜</v>
      </c>
      <c r="E3244" s="6" t="str">
        <f t="shared" si="103"/>
        <v>女</v>
      </c>
    </row>
    <row r="3245" spans="1:5" ht="30" customHeight="1">
      <c r="A3245" s="6">
        <v>3243</v>
      </c>
      <c r="B3245" s="6" t="str">
        <f>"299420210528091921110285"</f>
        <v>299420210528091921110285</v>
      </c>
      <c r="C3245" s="6" t="s">
        <v>1549</v>
      </c>
      <c r="D3245" s="6" t="str">
        <f>"卢玉妃"</f>
        <v>卢玉妃</v>
      </c>
      <c r="E3245" s="6" t="str">
        <f t="shared" si="103"/>
        <v>女</v>
      </c>
    </row>
    <row r="3246" spans="1:5" ht="30" customHeight="1">
      <c r="A3246" s="6">
        <v>3244</v>
      </c>
      <c r="B3246" s="6" t="str">
        <f>"299420210528103322110426"</f>
        <v>299420210528103322110426</v>
      </c>
      <c r="C3246" s="6" t="s">
        <v>1549</v>
      </c>
      <c r="D3246" s="6" t="str">
        <f>"蔡雪贞"</f>
        <v>蔡雪贞</v>
      </c>
      <c r="E3246" s="6" t="str">
        <f t="shared" si="103"/>
        <v>女</v>
      </c>
    </row>
    <row r="3247" spans="1:5" ht="30" customHeight="1">
      <c r="A3247" s="6">
        <v>3245</v>
      </c>
      <c r="B3247" s="6" t="str">
        <f>"299420210528110216110485"</f>
        <v>299420210528110216110485</v>
      </c>
      <c r="C3247" s="6" t="s">
        <v>1549</v>
      </c>
      <c r="D3247" s="6" t="str">
        <f>"于婷婷"</f>
        <v>于婷婷</v>
      </c>
      <c r="E3247" s="6" t="str">
        <f t="shared" si="103"/>
        <v>女</v>
      </c>
    </row>
    <row r="3248" spans="1:5" ht="30" customHeight="1">
      <c r="A3248" s="6">
        <v>3246</v>
      </c>
      <c r="B3248" s="6" t="str">
        <f>"299420210528154934110888"</f>
        <v>299420210528154934110888</v>
      </c>
      <c r="C3248" s="6" t="s">
        <v>1549</v>
      </c>
      <c r="D3248" s="6" t="str">
        <f>"郑慧"</f>
        <v>郑慧</v>
      </c>
      <c r="E3248" s="6" t="str">
        <f t="shared" si="103"/>
        <v>女</v>
      </c>
    </row>
    <row r="3249" spans="1:5" ht="30" customHeight="1">
      <c r="A3249" s="6">
        <v>3247</v>
      </c>
      <c r="B3249" s="6" t="str">
        <f>"299420210528155253110893"</f>
        <v>299420210528155253110893</v>
      </c>
      <c r="C3249" s="6" t="s">
        <v>1549</v>
      </c>
      <c r="D3249" s="6" t="str">
        <f>"许丹丹"</f>
        <v>许丹丹</v>
      </c>
      <c r="E3249" s="6" t="str">
        <f t="shared" si="103"/>
        <v>女</v>
      </c>
    </row>
    <row r="3250" spans="1:5" ht="30" customHeight="1">
      <c r="A3250" s="6">
        <v>3248</v>
      </c>
      <c r="B3250" s="6" t="str">
        <f>"299420210528184330111113"</f>
        <v>299420210528184330111113</v>
      </c>
      <c r="C3250" s="6" t="s">
        <v>1549</v>
      </c>
      <c r="D3250" s="6" t="str">
        <f>"林慕霞"</f>
        <v>林慕霞</v>
      </c>
      <c r="E3250" s="6" t="str">
        <f t="shared" si="103"/>
        <v>女</v>
      </c>
    </row>
    <row r="3251" spans="1:5" ht="30" customHeight="1">
      <c r="A3251" s="6">
        <v>3249</v>
      </c>
      <c r="B3251" s="6" t="str">
        <f>"299420210528195811111185"</f>
        <v>299420210528195811111185</v>
      </c>
      <c r="C3251" s="6" t="s">
        <v>1549</v>
      </c>
      <c r="D3251" s="6" t="str">
        <f>"林小钰"</f>
        <v>林小钰</v>
      </c>
      <c r="E3251" s="6" t="str">
        <f t="shared" si="103"/>
        <v>女</v>
      </c>
    </row>
    <row r="3252" spans="1:5" ht="30" customHeight="1">
      <c r="A3252" s="6">
        <v>3250</v>
      </c>
      <c r="B3252" s="6" t="str">
        <f>"299420210528204925111227"</f>
        <v>299420210528204925111227</v>
      </c>
      <c r="C3252" s="6" t="s">
        <v>1549</v>
      </c>
      <c r="D3252" s="6" t="str">
        <f>"吴新秀"</f>
        <v>吴新秀</v>
      </c>
      <c r="E3252" s="6" t="str">
        <f t="shared" si="103"/>
        <v>女</v>
      </c>
    </row>
    <row r="3253" spans="1:5" ht="30" customHeight="1">
      <c r="A3253" s="6">
        <v>3251</v>
      </c>
      <c r="B3253" s="6" t="str">
        <f>"299420210528212643111262"</f>
        <v>299420210528212643111262</v>
      </c>
      <c r="C3253" s="6" t="s">
        <v>1549</v>
      </c>
      <c r="D3253" s="6" t="str">
        <f>"陈丽妃"</f>
        <v>陈丽妃</v>
      </c>
      <c r="E3253" s="6" t="str">
        <f t="shared" si="103"/>
        <v>女</v>
      </c>
    </row>
    <row r="3254" spans="1:5" ht="30" customHeight="1">
      <c r="A3254" s="6">
        <v>3252</v>
      </c>
      <c r="B3254" s="6" t="str">
        <f>"299420210529100122111464"</f>
        <v>299420210529100122111464</v>
      </c>
      <c r="C3254" s="6" t="s">
        <v>1549</v>
      </c>
      <c r="D3254" s="6" t="str">
        <f>"李衍盛"</f>
        <v>李衍盛</v>
      </c>
      <c r="E3254" s="6" t="str">
        <f>"男"</f>
        <v>男</v>
      </c>
    </row>
    <row r="3255" spans="1:5" ht="30" customHeight="1">
      <c r="A3255" s="6">
        <v>3253</v>
      </c>
      <c r="B3255" s="6" t="str">
        <f>"299420210529130251111626"</f>
        <v>299420210529130251111626</v>
      </c>
      <c r="C3255" s="6" t="s">
        <v>1549</v>
      </c>
      <c r="D3255" s="6" t="str">
        <f>"王晓莹"</f>
        <v>王晓莹</v>
      </c>
      <c r="E3255" s="6" t="str">
        <f aca="true" t="shared" si="104" ref="E3255:E3268">"女"</f>
        <v>女</v>
      </c>
    </row>
    <row r="3256" spans="1:5" ht="30" customHeight="1">
      <c r="A3256" s="6">
        <v>3254</v>
      </c>
      <c r="B3256" s="6" t="str">
        <f>"299420210529180546111807"</f>
        <v>299420210529180546111807</v>
      </c>
      <c r="C3256" s="6" t="s">
        <v>1549</v>
      </c>
      <c r="D3256" s="6" t="str">
        <f>"孙庭婷"</f>
        <v>孙庭婷</v>
      </c>
      <c r="E3256" s="6" t="str">
        <f t="shared" si="104"/>
        <v>女</v>
      </c>
    </row>
    <row r="3257" spans="1:5" ht="30" customHeight="1">
      <c r="A3257" s="6">
        <v>3255</v>
      </c>
      <c r="B3257" s="6" t="str">
        <f>"299420210529212354111913"</f>
        <v>299420210529212354111913</v>
      </c>
      <c r="C3257" s="6" t="s">
        <v>1549</v>
      </c>
      <c r="D3257" s="6" t="str">
        <f>"凌珑"</f>
        <v>凌珑</v>
      </c>
      <c r="E3257" s="6" t="str">
        <f t="shared" si="104"/>
        <v>女</v>
      </c>
    </row>
    <row r="3258" spans="1:5" ht="30" customHeight="1">
      <c r="A3258" s="6">
        <v>3256</v>
      </c>
      <c r="B3258" s="6" t="str">
        <f>"299420210530122248112255"</f>
        <v>299420210530122248112255</v>
      </c>
      <c r="C3258" s="6" t="s">
        <v>1549</v>
      </c>
      <c r="D3258" s="6" t="str">
        <f>"胡丽娜"</f>
        <v>胡丽娜</v>
      </c>
      <c r="E3258" s="6" t="str">
        <f t="shared" si="104"/>
        <v>女</v>
      </c>
    </row>
    <row r="3259" spans="1:5" ht="30" customHeight="1">
      <c r="A3259" s="6">
        <v>3257</v>
      </c>
      <c r="B3259" s="6" t="str">
        <f>"299420210530124724112279"</f>
        <v>299420210530124724112279</v>
      </c>
      <c r="C3259" s="6" t="s">
        <v>1549</v>
      </c>
      <c r="D3259" s="6" t="str">
        <f>"蔡宜桓"</f>
        <v>蔡宜桓</v>
      </c>
      <c r="E3259" s="6" t="str">
        <f t="shared" si="104"/>
        <v>女</v>
      </c>
    </row>
    <row r="3260" spans="1:5" ht="30" customHeight="1">
      <c r="A3260" s="6">
        <v>3258</v>
      </c>
      <c r="B3260" s="6" t="str">
        <f>"299420210530141415112327"</f>
        <v>299420210530141415112327</v>
      </c>
      <c r="C3260" s="6" t="s">
        <v>1549</v>
      </c>
      <c r="D3260" s="6" t="str">
        <f>"王芸"</f>
        <v>王芸</v>
      </c>
      <c r="E3260" s="6" t="str">
        <f t="shared" si="104"/>
        <v>女</v>
      </c>
    </row>
    <row r="3261" spans="1:5" ht="30" customHeight="1">
      <c r="A3261" s="6">
        <v>3259</v>
      </c>
      <c r="B3261" s="6" t="str">
        <f>"299420210531001553112888"</f>
        <v>299420210531001553112888</v>
      </c>
      <c r="C3261" s="6" t="s">
        <v>1549</v>
      </c>
      <c r="D3261" s="6" t="str">
        <f>"陈婕"</f>
        <v>陈婕</v>
      </c>
      <c r="E3261" s="6" t="str">
        <f t="shared" si="104"/>
        <v>女</v>
      </c>
    </row>
    <row r="3262" spans="1:5" ht="30" customHeight="1">
      <c r="A3262" s="6">
        <v>3260</v>
      </c>
      <c r="B3262" s="6" t="str">
        <f>"299420210531085339112985"</f>
        <v>299420210531085339112985</v>
      </c>
      <c r="C3262" s="6" t="s">
        <v>1549</v>
      </c>
      <c r="D3262" s="6" t="str">
        <f>"林小雨"</f>
        <v>林小雨</v>
      </c>
      <c r="E3262" s="6" t="str">
        <f t="shared" si="104"/>
        <v>女</v>
      </c>
    </row>
    <row r="3263" spans="1:5" ht="30" customHeight="1">
      <c r="A3263" s="6">
        <v>3261</v>
      </c>
      <c r="B3263" s="6" t="str">
        <f>"299420210531100303113113"</f>
        <v>299420210531100303113113</v>
      </c>
      <c r="C3263" s="6" t="s">
        <v>1549</v>
      </c>
      <c r="D3263" s="6" t="str">
        <f>"刘美茜"</f>
        <v>刘美茜</v>
      </c>
      <c r="E3263" s="6" t="str">
        <f t="shared" si="104"/>
        <v>女</v>
      </c>
    </row>
    <row r="3264" spans="1:5" ht="30" customHeight="1">
      <c r="A3264" s="6">
        <v>3262</v>
      </c>
      <c r="B3264" s="6" t="str">
        <f>"299420210531104031113180"</f>
        <v>299420210531104031113180</v>
      </c>
      <c r="C3264" s="6" t="s">
        <v>1549</v>
      </c>
      <c r="D3264" s="6" t="str">
        <f>"林育遥"</f>
        <v>林育遥</v>
      </c>
      <c r="E3264" s="6" t="str">
        <f t="shared" si="104"/>
        <v>女</v>
      </c>
    </row>
    <row r="3265" spans="1:5" ht="30" customHeight="1">
      <c r="A3265" s="6">
        <v>3263</v>
      </c>
      <c r="B3265" s="6" t="str">
        <f>"299420210531104135113182"</f>
        <v>299420210531104135113182</v>
      </c>
      <c r="C3265" s="6" t="s">
        <v>1549</v>
      </c>
      <c r="D3265" s="6" t="str">
        <f>"吴超颖"</f>
        <v>吴超颖</v>
      </c>
      <c r="E3265" s="6" t="str">
        <f t="shared" si="104"/>
        <v>女</v>
      </c>
    </row>
    <row r="3266" spans="1:5" ht="30" customHeight="1">
      <c r="A3266" s="6">
        <v>3264</v>
      </c>
      <c r="B3266" s="6" t="str">
        <f>"299420210531111448113235"</f>
        <v>299420210531111448113235</v>
      </c>
      <c r="C3266" s="6" t="s">
        <v>1549</v>
      </c>
      <c r="D3266" s="6" t="str">
        <f>"陈若媛"</f>
        <v>陈若媛</v>
      </c>
      <c r="E3266" s="6" t="str">
        <f t="shared" si="104"/>
        <v>女</v>
      </c>
    </row>
    <row r="3267" spans="1:5" ht="30" customHeight="1">
      <c r="A3267" s="6">
        <v>3265</v>
      </c>
      <c r="B3267" s="6" t="str">
        <f>"299420210531133312113424"</f>
        <v>299420210531133312113424</v>
      </c>
      <c r="C3267" s="6" t="s">
        <v>1549</v>
      </c>
      <c r="D3267" s="6" t="str">
        <f>"高振雄"</f>
        <v>高振雄</v>
      </c>
      <c r="E3267" s="6" t="str">
        <f t="shared" si="104"/>
        <v>女</v>
      </c>
    </row>
    <row r="3268" spans="1:5" ht="30" customHeight="1">
      <c r="A3268" s="6">
        <v>3266</v>
      </c>
      <c r="B3268" s="6" t="str">
        <f>"299420210531151752113561"</f>
        <v>299420210531151752113561</v>
      </c>
      <c r="C3268" s="6" t="s">
        <v>1549</v>
      </c>
      <c r="D3268" s="6" t="str">
        <f>"许秀敏"</f>
        <v>许秀敏</v>
      </c>
      <c r="E3268" s="6" t="str">
        <f t="shared" si="104"/>
        <v>女</v>
      </c>
    </row>
    <row r="3269" spans="1:5" ht="30" customHeight="1">
      <c r="A3269" s="6">
        <v>3267</v>
      </c>
      <c r="B3269" s="6" t="s">
        <v>1550</v>
      </c>
      <c r="C3269" s="6" t="s">
        <v>1551</v>
      </c>
      <c r="D3269" s="6" t="s">
        <v>1552</v>
      </c>
      <c r="E3269" s="6" t="s">
        <v>32</v>
      </c>
    </row>
    <row r="3270" spans="1:5" ht="30" customHeight="1">
      <c r="A3270" s="6">
        <v>3268</v>
      </c>
      <c r="B3270" s="6" t="s">
        <v>1553</v>
      </c>
      <c r="C3270" s="6" t="s">
        <v>1551</v>
      </c>
      <c r="D3270" s="6" t="s">
        <v>1554</v>
      </c>
      <c r="E3270" s="6" t="s">
        <v>32</v>
      </c>
    </row>
    <row r="3271" spans="1:5" ht="30" customHeight="1">
      <c r="A3271" s="6">
        <v>3269</v>
      </c>
      <c r="B3271" s="6" t="s">
        <v>1555</v>
      </c>
      <c r="C3271" s="6" t="s">
        <v>1551</v>
      </c>
      <c r="D3271" s="6" t="s">
        <v>1556</v>
      </c>
      <c r="E3271" s="6" t="s">
        <v>32</v>
      </c>
    </row>
    <row r="3272" spans="1:5" ht="30" customHeight="1">
      <c r="A3272" s="6">
        <v>3270</v>
      </c>
      <c r="B3272" s="6" t="s">
        <v>1557</v>
      </c>
      <c r="C3272" s="6" t="s">
        <v>1551</v>
      </c>
      <c r="D3272" s="6" t="s">
        <v>1558</v>
      </c>
      <c r="E3272" s="6" t="s">
        <v>32</v>
      </c>
    </row>
    <row r="3273" spans="1:5" ht="30" customHeight="1">
      <c r="A3273" s="6">
        <v>3271</v>
      </c>
      <c r="B3273" s="6" t="s">
        <v>1559</v>
      </c>
      <c r="C3273" s="6" t="s">
        <v>1551</v>
      </c>
      <c r="D3273" s="6" t="s">
        <v>1560</v>
      </c>
      <c r="E3273" s="6" t="s">
        <v>15</v>
      </c>
    </row>
    <row r="3274" spans="1:5" ht="30" customHeight="1">
      <c r="A3274" s="6">
        <v>3272</v>
      </c>
      <c r="B3274" s="6" t="s">
        <v>1561</v>
      </c>
      <c r="C3274" s="6" t="s">
        <v>1551</v>
      </c>
      <c r="D3274" s="6" t="s">
        <v>1562</v>
      </c>
      <c r="E3274" s="6" t="s">
        <v>32</v>
      </c>
    </row>
    <row r="3275" spans="1:5" ht="30" customHeight="1">
      <c r="A3275" s="6">
        <v>3273</v>
      </c>
      <c r="B3275" s="6" t="s">
        <v>1563</v>
      </c>
      <c r="C3275" s="6" t="s">
        <v>1551</v>
      </c>
      <c r="D3275" s="6" t="s">
        <v>1564</v>
      </c>
      <c r="E3275" s="6" t="s">
        <v>32</v>
      </c>
    </row>
    <row r="3276" spans="1:5" ht="30" customHeight="1">
      <c r="A3276" s="6">
        <v>3274</v>
      </c>
      <c r="B3276" s="6" t="s">
        <v>1565</v>
      </c>
      <c r="C3276" s="6" t="s">
        <v>1551</v>
      </c>
      <c r="D3276" s="6" t="s">
        <v>1566</v>
      </c>
      <c r="E3276" s="6" t="s">
        <v>32</v>
      </c>
    </row>
    <row r="3277" spans="1:5" ht="30" customHeight="1">
      <c r="A3277" s="6">
        <v>3275</v>
      </c>
      <c r="B3277" s="6" t="s">
        <v>1567</v>
      </c>
      <c r="C3277" s="6" t="s">
        <v>1551</v>
      </c>
      <c r="D3277" s="6" t="s">
        <v>1568</v>
      </c>
      <c r="E3277" s="6" t="s">
        <v>32</v>
      </c>
    </row>
    <row r="3278" spans="1:5" ht="30" customHeight="1">
      <c r="A3278" s="6">
        <v>3276</v>
      </c>
      <c r="B3278" s="6" t="s">
        <v>1569</v>
      </c>
      <c r="C3278" s="6" t="s">
        <v>1551</v>
      </c>
      <c r="D3278" s="6" t="s">
        <v>1570</v>
      </c>
      <c r="E3278" s="6" t="s">
        <v>32</v>
      </c>
    </row>
    <row r="3279" spans="1:5" ht="30" customHeight="1">
      <c r="A3279" s="6">
        <v>3277</v>
      </c>
      <c r="B3279" s="6" t="s">
        <v>1571</v>
      </c>
      <c r="C3279" s="6" t="s">
        <v>1551</v>
      </c>
      <c r="D3279" s="6" t="s">
        <v>1572</v>
      </c>
      <c r="E3279" s="6" t="s">
        <v>32</v>
      </c>
    </row>
    <row r="3280" spans="1:5" ht="30" customHeight="1">
      <c r="A3280" s="6">
        <v>3278</v>
      </c>
      <c r="B3280" s="6" t="s">
        <v>1573</v>
      </c>
      <c r="C3280" s="6" t="s">
        <v>1551</v>
      </c>
      <c r="D3280" s="6" t="s">
        <v>1574</v>
      </c>
      <c r="E3280" s="6" t="s">
        <v>32</v>
      </c>
    </row>
    <row r="3281" spans="1:5" ht="30" customHeight="1">
      <c r="A3281" s="6">
        <v>3279</v>
      </c>
      <c r="B3281" s="6" t="s">
        <v>1575</v>
      </c>
      <c r="C3281" s="6" t="s">
        <v>1551</v>
      </c>
      <c r="D3281" s="6" t="s">
        <v>1576</v>
      </c>
      <c r="E3281" s="6" t="s">
        <v>32</v>
      </c>
    </row>
    <row r="3282" spans="1:5" ht="30" customHeight="1">
      <c r="A3282" s="6">
        <v>3280</v>
      </c>
      <c r="B3282" s="6" t="s">
        <v>1577</v>
      </c>
      <c r="C3282" s="6" t="s">
        <v>1551</v>
      </c>
      <c r="D3282" s="6" t="s">
        <v>1578</v>
      </c>
      <c r="E3282" s="6" t="s">
        <v>32</v>
      </c>
    </row>
    <row r="3283" spans="1:5" ht="30" customHeight="1">
      <c r="A3283" s="6">
        <v>3281</v>
      </c>
      <c r="B3283" s="6" t="s">
        <v>1579</v>
      </c>
      <c r="C3283" s="6" t="s">
        <v>1551</v>
      </c>
      <c r="D3283" s="6" t="s">
        <v>1580</v>
      </c>
      <c r="E3283" s="6" t="s">
        <v>32</v>
      </c>
    </row>
    <row r="3284" spans="1:5" ht="30" customHeight="1">
      <c r="A3284" s="6">
        <v>3282</v>
      </c>
      <c r="B3284" s="6" t="s">
        <v>1581</v>
      </c>
      <c r="C3284" s="6" t="s">
        <v>1551</v>
      </c>
      <c r="D3284" s="6" t="s">
        <v>1582</v>
      </c>
      <c r="E3284" s="6" t="s">
        <v>32</v>
      </c>
    </row>
    <row r="3285" spans="1:5" ht="30" customHeight="1">
      <c r="A3285" s="6">
        <v>3283</v>
      </c>
      <c r="B3285" s="6" t="s">
        <v>1583</v>
      </c>
      <c r="C3285" s="6" t="s">
        <v>1551</v>
      </c>
      <c r="D3285" s="6" t="s">
        <v>1584</v>
      </c>
      <c r="E3285" s="6" t="s">
        <v>32</v>
      </c>
    </row>
    <row r="3286" spans="1:5" ht="30" customHeight="1">
      <c r="A3286" s="6">
        <v>3284</v>
      </c>
      <c r="B3286" s="6" t="s">
        <v>1585</v>
      </c>
      <c r="C3286" s="6" t="s">
        <v>1551</v>
      </c>
      <c r="D3286" s="6" t="s">
        <v>1586</v>
      </c>
      <c r="E3286" s="6" t="s">
        <v>15</v>
      </c>
    </row>
    <row r="3287" spans="1:5" ht="30" customHeight="1">
      <c r="A3287" s="6">
        <v>3285</v>
      </c>
      <c r="B3287" s="6" t="s">
        <v>1587</v>
      </c>
      <c r="C3287" s="6" t="s">
        <v>1551</v>
      </c>
      <c r="D3287" s="6" t="s">
        <v>1588</v>
      </c>
      <c r="E3287" s="6" t="s">
        <v>32</v>
      </c>
    </row>
    <row r="3288" spans="1:5" ht="30" customHeight="1">
      <c r="A3288" s="6">
        <v>3286</v>
      </c>
      <c r="B3288" s="6" t="s">
        <v>1589</v>
      </c>
      <c r="C3288" s="6" t="s">
        <v>1551</v>
      </c>
      <c r="D3288" s="6" t="s">
        <v>1590</v>
      </c>
      <c r="E3288" s="6" t="s">
        <v>32</v>
      </c>
    </row>
    <row r="3289" spans="1:5" ht="30" customHeight="1">
      <c r="A3289" s="6">
        <v>3287</v>
      </c>
      <c r="B3289" s="6" t="s">
        <v>1591</v>
      </c>
      <c r="C3289" s="6" t="s">
        <v>1551</v>
      </c>
      <c r="D3289" s="6" t="s">
        <v>1592</v>
      </c>
      <c r="E3289" s="6" t="s">
        <v>32</v>
      </c>
    </row>
    <row r="3290" spans="1:5" ht="30" customHeight="1">
      <c r="A3290" s="6">
        <v>3288</v>
      </c>
      <c r="B3290" s="6" t="s">
        <v>1593</v>
      </c>
      <c r="C3290" s="6" t="s">
        <v>1551</v>
      </c>
      <c r="D3290" s="6" t="s">
        <v>1594</v>
      </c>
      <c r="E3290" s="6" t="s">
        <v>32</v>
      </c>
    </row>
    <row r="3291" spans="1:5" ht="30" customHeight="1">
      <c r="A3291" s="6">
        <v>3289</v>
      </c>
      <c r="B3291" s="6" t="s">
        <v>1595</v>
      </c>
      <c r="C3291" s="6" t="s">
        <v>1551</v>
      </c>
      <c r="D3291" s="6" t="s">
        <v>1596</v>
      </c>
      <c r="E3291" s="6" t="s">
        <v>32</v>
      </c>
    </row>
    <row r="3292" spans="1:5" ht="30" customHeight="1">
      <c r="A3292" s="6">
        <v>3290</v>
      </c>
      <c r="B3292" s="6" t="s">
        <v>1597</v>
      </c>
      <c r="C3292" s="6" t="s">
        <v>1551</v>
      </c>
      <c r="D3292" s="6" t="s">
        <v>1598</v>
      </c>
      <c r="E3292" s="6" t="s">
        <v>32</v>
      </c>
    </row>
    <row r="3293" spans="1:5" ht="30" customHeight="1">
      <c r="A3293" s="6">
        <v>3291</v>
      </c>
      <c r="B3293" s="6" t="s">
        <v>1599</v>
      </c>
      <c r="C3293" s="6" t="s">
        <v>1551</v>
      </c>
      <c r="D3293" s="6" t="s">
        <v>1600</v>
      </c>
      <c r="E3293" s="6" t="s">
        <v>32</v>
      </c>
    </row>
    <row r="3294" spans="1:5" ht="30" customHeight="1">
      <c r="A3294" s="6">
        <v>3292</v>
      </c>
      <c r="B3294" s="6" t="s">
        <v>1601</v>
      </c>
      <c r="C3294" s="6" t="s">
        <v>1551</v>
      </c>
      <c r="D3294" s="6" t="s">
        <v>1602</v>
      </c>
      <c r="E3294" s="6" t="s">
        <v>32</v>
      </c>
    </row>
    <row r="3295" spans="1:5" ht="30" customHeight="1">
      <c r="A3295" s="6">
        <v>3293</v>
      </c>
      <c r="B3295" s="6" t="s">
        <v>1603</v>
      </c>
      <c r="C3295" s="6" t="s">
        <v>1551</v>
      </c>
      <c r="D3295" s="6" t="s">
        <v>1604</v>
      </c>
      <c r="E3295" s="6" t="s">
        <v>32</v>
      </c>
    </row>
    <row r="3296" spans="1:5" ht="30" customHeight="1">
      <c r="A3296" s="6">
        <v>3294</v>
      </c>
      <c r="B3296" s="6" t="s">
        <v>1605</v>
      </c>
      <c r="C3296" s="6" t="s">
        <v>1551</v>
      </c>
      <c r="D3296" s="6" t="s">
        <v>1606</v>
      </c>
      <c r="E3296" s="6" t="s">
        <v>32</v>
      </c>
    </row>
    <row r="3297" spans="1:5" ht="30" customHeight="1">
      <c r="A3297" s="6">
        <v>3295</v>
      </c>
      <c r="B3297" s="6" t="s">
        <v>1607</v>
      </c>
      <c r="C3297" s="6" t="s">
        <v>1551</v>
      </c>
      <c r="D3297" s="6" t="s">
        <v>1608</v>
      </c>
      <c r="E3297" s="6" t="s">
        <v>32</v>
      </c>
    </row>
    <row r="3298" spans="1:5" ht="30" customHeight="1">
      <c r="A3298" s="6">
        <v>3296</v>
      </c>
      <c r="B3298" s="6" t="s">
        <v>1609</v>
      </c>
      <c r="C3298" s="6" t="s">
        <v>1551</v>
      </c>
      <c r="D3298" s="6" t="s">
        <v>1610</v>
      </c>
      <c r="E3298" s="6" t="s">
        <v>32</v>
      </c>
    </row>
    <row r="3299" spans="1:5" ht="30" customHeight="1">
      <c r="A3299" s="6">
        <v>3297</v>
      </c>
      <c r="B3299" s="6" t="s">
        <v>1611</v>
      </c>
      <c r="C3299" s="6" t="s">
        <v>1551</v>
      </c>
      <c r="D3299" s="6" t="s">
        <v>1612</v>
      </c>
      <c r="E3299" s="6" t="s">
        <v>32</v>
      </c>
    </row>
    <row r="3300" spans="1:5" ht="30" customHeight="1">
      <c r="A3300" s="6">
        <v>3298</v>
      </c>
      <c r="B3300" s="6" t="s">
        <v>1613</v>
      </c>
      <c r="C3300" s="6" t="s">
        <v>1614</v>
      </c>
      <c r="D3300" s="6" t="s">
        <v>1615</v>
      </c>
      <c r="E3300" s="6" t="s">
        <v>32</v>
      </c>
    </row>
    <row r="3301" spans="1:5" ht="30" customHeight="1">
      <c r="A3301" s="6">
        <v>3299</v>
      </c>
      <c r="B3301" s="6" t="s">
        <v>1616</v>
      </c>
      <c r="C3301" s="6" t="s">
        <v>1614</v>
      </c>
      <c r="D3301" s="6" t="s">
        <v>1617</v>
      </c>
      <c r="E3301" s="6" t="s">
        <v>32</v>
      </c>
    </row>
    <row r="3302" spans="1:5" ht="30" customHeight="1">
      <c r="A3302" s="6">
        <v>3300</v>
      </c>
      <c r="B3302" s="6" t="s">
        <v>1618</v>
      </c>
      <c r="C3302" s="6" t="s">
        <v>1614</v>
      </c>
      <c r="D3302" s="6" t="s">
        <v>1619</v>
      </c>
      <c r="E3302" s="6" t="s">
        <v>32</v>
      </c>
    </row>
    <row r="3303" spans="1:5" ht="30" customHeight="1">
      <c r="A3303" s="6">
        <v>3301</v>
      </c>
      <c r="B3303" s="6" t="s">
        <v>1620</v>
      </c>
      <c r="C3303" s="6" t="s">
        <v>1614</v>
      </c>
      <c r="D3303" s="6" t="s">
        <v>1621</v>
      </c>
      <c r="E3303" s="6" t="s">
        <v>32</v>
      </c>
    </row>
    <row r="3304" spans="1:5" ht="30" customHeight="1">
      <c r="A3304" s="6">
        <v>3302</v>
      </c>
      <c r="B3304" s="6" t="s">
        <v>1622</v>
      </c>
      <c r="C3304" s="6" t="s">
        <v>1614</v>
      </c>
      <c r="D3304" s="6" t="s">
        <v>1623</v>
      </c>
      <c r="E3304" s="6" t="s">
        <v>32</v>
      </c>
    </row>
    <row r="3305" spans="1:5" ht="30" customHeight="1">
      <c r="A3305" s="6">
        <v>3303</v>
      </c>
      <c r="B3305" s="6" t="s">
        <v>1624</v>
      </c>
      <c r="C3305" s="6" t="s">
        <v>1614</v>
      </c>
      <c r="D3305" s="6" t="s">
        <v>1625</v>
      </c>
      <c r="E3305" s="6" t="s">
        <v>32</v>
      </c>
    </row>
    <row r="3306" spans="1:5" ht="30" customHeight="1">
      <c r="A3306" s="6">
        <v>3304</v>
      </c>
      <c r="B3306" s="6" t="s">
        <v>1626</v>
      </c>
      <c r="C3306" s="6" t="s">
        <v>1614</v>
      </c>
      <c r="D3306" s="6" t="s">
        <v>1627</v>
      </c>
      <c r="E3306" s="6" t="s">
        <v>32</v>
      </c>
    </row>
    <row r="3307" spans="1:5" ht="30" customHeight="1">
      <c r="A3307" s="6">
        <v>3305</v>
      </c>
      <c r="B3307" s="6" t="s">
        <v>1628</v>
      </c>
      <c r="C3307" s="6" t="s">
        <v>1614</v>
      </c>
      <c r="D3307" s="6" t="s">
        <v>1149</v>
      </c>
      <c r="E3307" s="6" t="s">
        <v>32</v>
      </c>
    </row>
    <row r="3308" spans="1:5" ht="30" customHeight="1">
      <c r="A3308" s="6">
        <v>3306</v>
      </c>
      <c r="B3308" s="6" t="s">
        <v>1629</v>
      </c>
      <c r="C3308" s="6" t="s">
        <v>1614</v>
      </c>
      <c r="D3308" s="6" t="s">
        <v>1630</v>
      </c>
      <c r="E3308" s="6" t="s">
        <v>15</v>
      </c>
    </row>
    <row r="3309" spans="1:5" ht="30" customHeight="1">
      <c r="A3309" s="6">
        <v>3307</v>
      </c>
      <c r="B3309" s="6" t="s">
        <v>1631</v>
      </c>
      <c r="C3309" s="6" t="s">
        <v>1614</v>
      </c>
      <c r="D3309" s="6" t="s">
        <v>1632</v>
      </c>
      <c r="E3309" s="6" t="s">
        <v>32</v>
      </c>
    </row>
    <row r="3310" spans="1:5" ht="30" customHeight="1">
      <c r="A3310" s="6">
        <v>3308</v>
      </c>
      <c r="B3310" s="6" t="s">
        <v>1633</v>
      </c>
      <c r="C3310" s="6" t="s">
        <v>1614</v>
      </c>
      <c r="D3310" s="6" t="s">
        <v>1259</v>
      </c>
      <c r="E3310" s="6" t="s">
        <v>32</v>
      </c>
    </row>
    <row r="3311" spans="1:5" ht="30" customHeight="1">
      <c r="A3311" s="6">
        <v>3309</v>
      </c>
      <c r="B3311" s="6" t="s">
        <v>1634</v>
      </c>
      <c r="C3311" s="6" t="s">
        <v>1614</v>
      </c>
      <c r="D3311" s="6" t="s">
        <v>1635</v>
      </c>
      <c r="E3311" s="6" t="s">
        <v>32</v>
      </c>
    </row>
    <row r="3312" spans="1:5" ht="30" customHeight="1">
      <c r="A3312" s="6">
        <v>3310</v>
      </c>
      <c r="B3312" s="6" t="s">
        <v>1636</v>
      </c>
      <c r="C3312" s="6" t="s">
        <v>1614</v>
      </c>
      <c r="D3312" s="6" t="s">
        <v>1637</v>
      </c>
      <c r="E3312" s="6" t="s">
        <v>32</v>
      </c>
    </row>
    <row r="3313" spans="1:5" ht="30" customHeight="1">
      <c r="A3313" s="6">
        <v>3311</v>
      </c>
      <c r="B3313" s="6" t="s">
        <v>1638</v>
      </c>
      <c r="C3313" s="6" t="s">
        <v>1614</v>
      </c>
      <c r="D3313" s="6" t="s">
        <v>1639</v>
      </c>
      <c r="E3313" s="6" t="s">
        <v>15</v>
      </c>
    </row>
    <row r="3314" spans="1:5" ht="30" customHeight="1">
      <c r="A3314" s="6">
        <v>3312</v>
      </c>
      <c r="B3314" s="6" t="s">
        <v>1640</v>
      </c>
      <c r="C3314" s="6" t="s">
        <v>1614</v>
      </c>
      <c r="D3314" s="6" t="s">
        <v>1641</v>
      </c>
      <c r="E3314" s="6" t="s">
        <v>32</v>
      </c>
    </row>
    <row r="3315" spans="1:5" ht="30" customHeight="1">
      <c r="A3315" s="6">
        <v>3313</v>
      </c>
      <c r="B3315" s="6" t="s">
        <v>1642</v>
      </c>
      <c r="C3315" s="6" t="s">
        <v>1614</v>
      </c>
      <c r="D3315" s="6" t="s">
        <v>1643</v>
      </c>
      <c r="E3315" s="6" t="s">
        <v>32</v>
      </c>
    </row>
    <row r="3316" spans="1:5" ht="30" customHeight="1">
      <c r="A3316" s="6">
        <v>3314</v>
      </c>
      <c r="B3316" s="6" t="s">
        <v>1644</v>
      </c>
      <c r="C3316" s="6" t="s">
        <v>1614</v>
      </c>
      <c r="D3316" s="6" t="s">
        <v>1645</v>
      </c>
      <c r="E3316" s="6" t="s">
        <v>32</v>
      </c>
    </row>
    <row r="3317" spans="1:5" ht="30" customHeight="1">
      <c r="A3317" s="6">
        <v>3315</v>
      </c>
      <c r="B3317" s="6" t="s">
        <v>1646</v>
      </c>
      <c r="C3317" s="6" t="s">
        <v>1614</v>
      </c>
      <c r="D3317" s="6" t="s">
        <v>1647</v>
      </c>
      <c r="E3317" s="6" t="s">
        <v>32</v>
      </c>
    </row>
    <row r="3318" spans="1:5" ht="30" customHeight="1">
      <c r="A3318" s="6">
        <v>3316</v>
      </c>
      <c r="B3318" s="6" t="s">
        <v>1648</v>
      </c>
      <c r="C3318" s="6" t="s">
        <v>1614</v>
      </c>
      <c r="D3318" s="6" t="s">
        <v>1649</v>
      </c>
      <c r="E3318" s="6" t="s">
        <v>32</v>
      </c>
    </row>
    <row r="3319" spans="1:5" ht="30" customHeight="1">
      <c r="A3319" s="6">
        <v>3317</v>
      </c>
      <c r="B3319" s="6" t="s">
        <v>1650</v>
      </c>
      <c r="C3319" s="6" t="s">
        <v>1614</v>
      </c>
      <c r="D3319" s="6" t="s">
        <v>1651</v>
      </c>
      <c r="E3319" s="6" t="s">
        <v>15</v>
      </c>
    </row>
    <row r="3320" spans="1:5" ht="30" customHeight="1">
      <c r="A3320" s="6">
        <v>3318</v>
      </c>
      <c r="B3320" s="6" t="s">
        <v>1652</v>
      </c>
      <c r="C3320" s="6" t="s">
        <v>1614</v>
      </c>
      <c r="D3320" s="6" t="s">
        <v>1653</v>
      </c>
      <c r="E3320" s="6" t="s">
        <v>32</v>
      </c>
    </row>
    <row r="3321" spans="1:5" ht="30" customHeight="1">
      <c r="A3321" s="6">
        <v>3319</v>
      </c>
      <c r="B3321" s="6" t="s">
        <v>1654</v>
      </c>
      <c r="C3321" s="6" t="s">
        <v>1614</v>
      </c>
      <c r="D3321" s="6" t="s">
        <v>1655</v>
      </c>
      <c r="E3321" s="6" t="s">
        <v>15</v>
      </c>
    </row>
    <row r="3322" spans="1:5" ht="30" customHeight="1">
      <c r="A3322" s="6">
        <v>3320</v>
      </c>
      <c r="B3322" s="6" t="s">
        <v>1656</v>
      </c>
      <c r="C3322" s="6" t="s">
        <v>1614</v>
      </c>
      <c r="D3322" s="6" t="s">
        <v>1657</v>
      </c>
      <c r="E3322" s="6" t="s">
        <v>32</v>
      </c>
    </row>
    <row r="3323" spans="1:5" ht="30" customHeight="1">
      <c r="A3323" s="6">
        <v>3321</v>
      </c>
      <c r="B3323" s="6" t="s">
        <v>1658</v>
      </c>
      <c r="C3323" s="6" t="s">
        <v>1614</v>
      </c>
      <c r="D3323" s="6" t="s">
        <v>1659</v>
      </c>
      <c r="E3323" s="6" t="s">
        <v>32</v>
      </c>
    </row>
    <row r="3324" spans="1:5" ht="30" customHeight="1">
      <c r="A3324" s="6">
        <v>3322</v>
      </c>
      <c r="B3324" s="6" t="s">
        <v>1660</v>
      </c>
      <c r="C3324" s="6" t="s">
        <v>1614</v>
      </c>
      <c r="D3324" s="6" t="s">
        <v>1661</v>
      </c>
      <c r="E3324" s="6" t="s">
        <v>32</v>
      </c>
    </row>
    <row r="3325" spans="1:5" ht="30" customHeight="1">
      <c r="A3325" s="6">
        <v>3323</v>
      </c>
      <c r="B3325" s="6" t="s">
        <v>1662</v>
      </c>
      <c r="C3325" s="6" t="s">
        <v>1614</v>
      </c>
      <c r="D3325" s="6" t="s">
        <v>1663</v>
      </c>
      <c r="E3325" s="6" t="s">
        <v>32</v>
      </c>
    </row>
    <row r="3326" spans="1:5" ht="30" customHeight="1">
      <c r="A3326" s="6">
        <v>3324</v>
      </c>
      <c r="B3326" s="6" t="s">
        <v>1664</v>
      </c>
      <c r="C3326" s="6" t="s">
        <v>1614</v>
      </c>
      <c r="D3326" s="6" t="s">
        <v>1665</v>
      </c>
      <c r="E3326" s="6" t="s">
        <v>32</v>
      </c>
    </row>
    <row r="3327" spans="1:5" ht="30" customHeight="1">
      <c r="A3327" s="6">
        <v>3325</v>
      </c>
      <c r="B3327" s="6" t="s">
        <v>1666</v>
      </c>
      <c r="C3327" s="6" t="s">
        <v>1614</v>
      </c>
      <c r="D3327" s="6" t="s">
        <v>1667</v>
      </c>
      <c r="E3327" s="6" t="s">
        <v>32</v>
      </c>
    </row>
    <row r="3328" spans="1:5" ht="30" customHeight="1">
      <c r="A3328" s="6">
        <v>3326</v>
      </c>
      <c r="B3328" s="6" t="s">
        <v>1668</v>
      </c>
      <c r="C3328" s="6" t="s">
        <v>1614</v>
      </c>
      <c r="D3328" s="6" t="s">
        <v>1669</v>
      </c>
      <c r="E3328" s="6" t="s">
        <v>32</v>
      </c>
    </row>
    <row r="3329" spans="1:5" ht="30" customHeight="1">
      <c r="A3329" s="6">
        <v>3327</v>
      </c>
      <c r="B3329" s="6" t="s">
        <v>1670</v>
      </c>
      <c r="C3329" s="6" t="s">
        <v>1614</v>
      </c>
      <c r="D3329" s="6" t="s">
        <v>479</v>
      </c>
      <c r="E3329" s="6" t="s">
        <v>32</v>
      </c>
    </row>
    <row r="3330" spans="1:5" ht="30" customHeight="1">
      <c r="A3330" s="6">
        <v>3328</v>
      </c>
      <c r="B3330" s="6" t="s">
        <v>1671</v>
      </c>
      <c r="C3330" s="6" t="s">
        <v>1614</v>
      </c>
      <c r="D3330" s="6" t="s">
        <v>1672</v>
      </c>
      <c r="E3330" s="6" t="s">
        <v>32</v>
      </c>
    </row>
    <row r="3331" spans="1:5" ht="30" customHeight="1">
      <c r="A3331" s="6">
        <v>3329</v>
      </c>
      <c r="B3331" s="6" t="s">
        <v>1673</v>
      </c>
      <c r="C3331" s="6" t="s">
        <v>1614</v>
      </c>
      <c r="D3331" s="6" t="s">
        <v>1674</v>
      </c>
      <c r="E3331" s="6" t="s">
        <v>32</v>
      </c>
    </row>
    <row r="3332" spans="1:5" ht="30" customHeight="1">
      <c r="A3332" s="6">
        <v>3330</v>
      </c>
      <c r="B3332" s="6" t="s">
        <v>1675</v>
      </c>
      <c r="C3332" s="6" t="s">
        <v>1614</v>
      </c>
      <c r="D3332" s="6" t="s">
        <v>1676</v>
      </c>
      <c r="E3332" s="6" t="s">
        <v>32</v>
      </c>
    </row>
    <row r="3333" spans="1:5" ht="30" customHeight="1">
      <c r="A3333" s="6">
        <v>3331</v>
      </c>
      <c r="B3333" s="6" t="s">
        <v>1677</v>
      </c>
      <c r="C3333" s="6" t="s">
        <v>1614</v>
      </c>
      <c r="D3333" s="6" t="s">
        <v>1678</v>
      </c>
      <c r="E3333" s="6" t="s">
        <v>32</v>
      </c>
    </row>
    <row r="3334" spans="1:5" ht="30" customHeight="1">
      <c r="A3334" s="6">
        <v>3332</v>
      </c>
      <c r="B3334" s="6" t="s">
        <v>1679</v>
      </c>
      <c r="C3334" s="6" t="s">
        <v>1614</v>
      </c>
      <c r="D3334" s="6" t="s">
        <v>1502</v>
      </c>
      <c r="E3334" s="6" t="s">
        <v>32</v>
      </c>
    </row>
    <row r="3335" spans="1:5" ht="30" customHeight="1">
      <c r="A3335" s="6">
        <v>3333</v>
      </c>
      <c r="B3335" s="6" t="s">
        <v>1680</v>
      </c>
      <c r="C3335" s="6" t="s">
        <v>1614</v>
      </c>
      <c r="D3335" s="6" t="s">
        <v>1681</v>
      </c>
      <c r="E3335" s="6" t="s">
        <v>32</v>
      </c>
    </row>
    <row r="3336" spans="1:5" ht="30" customHeight="1">
      <c r="A3336" s="6">
        <v>3334</v>
      </c>
      <c r="B3336" s="6" t="s">
        <v>1682</v>
      </c>
      <c r="C3336" s="6" t="s">
        <v>1614</v>
      </c>
      <c r="D3336" s="6" t="s">
        <v>1683</v>
      </c>
      <c r="E3336" s="6" t="s">
        <v>32</v>
      </c>
    </row>
    <row r="3337" spans="1:5" ht="30" customHeight="1">
      <c r="A3337" s="6">
        <v>3335</v>
      </c>
      <c r="B3337" s="6" t="s">
        <v>1684</v>
      </c>
      <c r="C3337" s="6" t="s">
        <v>1614</v>
      </c>
      <c r="D3337" s="6" t="s">
        <v>1685</v>
      </c>
      <c r="E3337" s="6" t="s">
        <v>32</v>
      </c>
    </row>
    <row r="3338" spans="1:5" ht="30" customHeight="1">
      <c r="A3338" s="6">
        <v>3336</v>
      </c>
      <c r="B3338" s="6" t="s">
        <v>1686</v>
      </c>
      <c r="C3338" s="6" t="s">
        <v>1614</v>
      </c>
      <c r="D3338" s="6" t="s">
        <v>1687</v>
      </c>
      <c r="E3338" s="6" t="s">
        <v>32</v>
      </c>
    </row>
    <row r="3339" spans="1:5" ht="30" customHeight="1">
      <c r="A3339" s="6">
        <v>3337</v>
      </c>
      <c r="B3339" s="6" t="s">
        <v>1688</v>
      </c>
      <c r="C3339" s="6" t="s">
        <v>1614</v>
      </c>
      <c r="D3339" s="6" t="s">
        <v>1689</v>
      </c>
      <c r="E3339" s="6" t="s">
        <v>32</v>
      </c>
    </row>
    <row r="3340" spans="1:5" ht="30" customHeight="1">
      <c r="A3340" s="6">
        <v>3338</v>
      </c>
      <c r="B3340" s="6" t="s">
        <v>1690</v>
      </c>
      <c r="C3340" s="6" t="s">
        <v>1614</v>
      </c>
      <c r="D3340" s="6" t="s">
        <v>1691</v>
      </c>
      <c r="E3340" s="6" t="s">
        <v>32</v>
      </c>
    </row>
    <row r="3341" spans="1:5" ht="30" customHeight="1">
      <c r="A3341" s="6">
        <v>3339</v>
      </c>
      <c r="B3341" s="6" t="s">
        <v>1692</v>
      </c>
      <c r="C3341" s="6" t="s">
        <v>1614</v>
      </c>
      <c r="D3341" s="6" t="s">
        <v>1693</v>
      </c>
      <c r="E3341" s="6" t="s">
        <v>15</v>
      </c>
    </row>
    <row r="3342" spans="1:5" ht="30" customHeight="1">
      <c r="A3342" s="6">
        <v>3340</v>
      </c>
      <c r="B3342" s="6" t="s">
        <v>1694</v>
      </c>
      <c r="C3342" s="6" t="s">
        <v>1614</v>
      </c>
      <c r="D3342" s="6" t="s">
        <v>1695</v>
      </c>
      <c r="E3342" s="6" t="s">
        <v>32</v>
      </c>
    </row>
    <row r="3343" spans="1:5" ht="30" customHeight="1">
      <c r="A3343" s="6">
        <v>3341</v>
      </c>
      <c r="B3343" s="6" t="s">
        <v>1696</v>
      </c>
      <c r="C3343" s="6" t="s">
        <v>1614</v>
      </c>
      <c r="D3343" s="6" t="s">
        <v>1697</v>
      </c>
      <c r="E3343" s="6" t="s">
        <v>32</v>
      </c>
    </row>
    <row r="3344" spans="1:5" ht="30" customHeight="1">
      <c r="A3344" s="6">
        <v>3342</v>
      </c>
      <c r="B3344" s="6" t="s">
        <v>1698</v>
      </c>
      <c r="C3344" s="6" t="s">
        <v>1614</v>
      </c>
      <c r="D3344" s="6" t="s">
        <v>1699</v>
      </c>
      <c r="E3344" s="6" t="s">
        <v>32</v>
      </c>
    </row>
    <row r="3345" spans="1:5" ht="30" customHeight="1">
      <c r="A3345" s="6">
        <v>3343</v>
      </c>
      <c r="B3345" s="6" t="s">
        <v>1700</v>
      </c>
      <c r="C3345" s="6" t="s">
        <v>1614</v>
      </c>
      <c r="D3345" s="6" t="s">
        <v>1701</v>
      </c>
      <c r="E3345" s="6" t="s">
        <v>32</v>
      </c>
    </row>
    <row r="3346" spans="1:5" ht="30" customHeight="1">
      <c r="A3346" s="6">
        <v>3344</v>
      </c>
      <c r="B3346" s="6" t="s">
        <v>1702</v>
      </c>
      <c r="C3346" s="6" t="s">
        <v>1614</v>
      </c>
      <c r="D3346" s="6" t="s">
        <v>1703</v>
      </c>
      <c r="E3346" s="6" t="s">
        <v>32</v>
      </c>
    </row>
    <row r="3347" spans="1:5" ht="30" customHeight="1">
      <c r="A3347" s="6">
        <v>3345</v>
      </c>
      <c r="B3347" s="6" t="s">
        <v>1704</v>
      </c>
      <c r="C3347" s="6" t="s">
        <v>1614</v>
      </c>
      <c r="D3347" s="6" t="s">
        <v>1705</v>
      </c>
      <c r="E3347" s="6" t="s">
        <v>32</v>
      </c>
    </row>
    <row r="3348" spans="1:5" ht="30" customHeight="1">
      <c r="A3348" s="6">
        <v>3346</v>
      </c>
      <c r="B3348" s="6" t="s">
        <v>1706</v>
      </c>
      <c r="C3348" s="6" t="s">
        <v>1614</v>
      </c>
      <c r="D3348" s="6" t="s">
        <v>1707</v>
      </c>
      <c r="E3348" s="6" t="s">
        <v>32</v>
      </c>
    </row>
    <row r="3349" spans="1:5" ht="30" customHeight="1">
      <c r="A3349" s="6">
        <v>3347</v>
      </c>
      <c r="B3349" s="6" t="s">
        <v>1708</v>
      </c>
      <c r="C3349" s="6" t="s">
        <v>1614</v>
      </c>
      <c r="D3349" s="6" t="s">
        <v>1709</v>
      </c>
      <c r="E3349" s="6" t="s">
        <v>32</v>
      </c>
    </row>
    <row r="3350" spans="1:5" ht="30" customHeight="1">
      <c r="A3350" s="6">
        <v>3348</v>
      </c>
      <c r="B3350" s="6" t="s">
        <v>1710</v>
      </c>
      <c r="C3350" s="6" t="s">
        <v>1614</v>
      </c>
      <c r="D3350" s="6" t="s">
        <v>1711</v>
      </c>
      <c r="E3350" s="6" t="s">
        <v>32</v>
      </c>
    </row>
    <row r="3351" spans="1:5" ht="30" customHeight="1">
      <c r="A3351" s="6">
        <v>3349</v>
      </c>
      <c r="B3351" s="6" t="s">
        <v>1712</v>
      </c>
      <c r="C3351" s="6" t="s">
        <v>1614</v>
      </c>
      <c r="D3351" s="6" t="s">
        <v>1713</v>
      </c>
      <c r="E3351" s="6" t="s">
        <v>32</v>
      </c>
    </row>
    <row r="3352" spans="1:5" ht="30" customHeight="1">
      <c r="A3352" s="6">
        <v>3350</v>
      </c>
      <c r="B3352" s="6" t="s">
        <v>1714</v>
      </c>
      <c r="C3352" s="6" t="s">
        <v>1614</v>
      </c>
      <c r="D3352" s="6" t="s">
        <v>1715</v>
      </c>
      <c r="E3352" s="6" t="s">
        <v>32</v>
      </c>
    </row>
    <row r="3353" spans="1:5" ht="30" customHeight="1">
      <c r="A3353" s="6">
        <v>3351</v>
      </c>
      <c r="B3353" s="6" t="s">
        <v>1716</v>
      </c>
      <c r="C3353" s="6" t="s">
        <v>1614</v>
      </c>
      <c r="D3353" s="6" t="s">
        <v>1717</v>
      </c>
      <c r="E3353" s="6" t="s">
        <v>32</v>
      </c>
    </row>
    <row r="3354" spans="1:5" ht="30" customHeight="1">
      <c r="A3354" s="6">
        <v>3352</v>
      </c>
      <c r="B3354" s="6" t="s">
        <v>1718</v>
      </c>
      <c r="C3354" s="6" t="s">
        <v>1614</v>
      </c>
      <c r="D3354" s="6" t="s">
        <v>1719</v>
      </c>
      <c r="E3354" s="6" t="s">
        <v>15</v>
      </c>
    </row>
    <row r="3355" spans="1:5" ht="30" customHeight="1">
      <c r="A3355" s="6">
        <v>3353</v>
      </c>
      <c r="B3355" s="6" t="s">
        <v>1720</v>
      </c>
      <c r="C3355" s="6" t="s">
        <v>1614</v>
      </c>
      <c r="D3355" s="6" t="s">
        <v>1721</v>
      </c>
      <c r="E3355" s="6" t="s">
        <v>15</v>
      </c>
    </row>
    <row r="3356" spans="1:5" ht="30" customHeight="1">
      <c r="A3356" s="6">
        <v>3354</v>
      </c>
      <c r="B3356" s="6" t="s">
        <v>1722</v>
      </c>
      <c r="C3356" s="6" t="s">
        <v>1614</v>
      </c>
      <c r="D3356" s="6" t="s">
        <v>1723</v>
      </c>
      <c r="E3356" s="6" t="s">
        <v>32</v>
      </c>
    </row>
    <row r="3357" spans="1:5" ht="30" customHeight="1">
      <c r="A3357" s="6">
        <v>3355</v>
      </c>
      <c r="B3357" s="6" t="s">
        <v>1724</v>
      </c>
      <c r="C3357" s="6" t="s">
        <v>1614</v>
      </c>
      <c r="D3357" s="6" t="s">
        <v>1725</v>
      </c>
      <c r="E3357" s="6" t="s">
        <v>32</v>
      </c>
    </row>
    <row r="3358" spans="1:5" ht="30" customHeight="1">
      <c r="A3358" s="6">
        <v>3356</v>
      </c>
      <c r="B3358" s="6" t="s">
        <v>1726</v>
      </c>
      <c r="C3358" s="6" t="s">
        <v>1614</v>
      </c>
      <c r="D3358" s="6" t="s">
        <v>1727</v>
      </c>
      <c r="E3358" s="6" t="s">
        <v>32</v>
      </c>
    </row>
    <row r="3359" spans="1:5" ht="30" customHeight="1">
      <c r="A3359" s="6">
        <v>3357</v>
      </c>
      <c r="B3359" s="6" t="s">
        <v>1728</v>
      </c>
      <c r="C3359" s="6" t="s">
        <v>1614</v>
      </c>
      <c r="D3359" s="6" t="s">
        <v>1729</v>
      </c>
      <c r="E3359" s="6" t="s">
        <v>32</v>
      </c>
    </row>
    <row r="3360" spans="1:5" ht="30" customHeight="1">
      <c r="A3360" s="6">
        <v>3358</v>
      </c>
      <c r="B3360" s="6" t="s">
        <v>1730</v>
      </c>
      <c r="C3360" s="6" t="s">
        <v>1614</v>
      </c>
      <c r="D3360" s="6" t="s">
        <v>1731</v>
      </c>
      <c r="E3360" s="6" t="s">
        <v>32</v>
      </c>
    </row>
    <row r="3361" spans="1:5" ht="30" customHeight="1">
      <c r="A3361" s="6">
        <v>3359</v>
      </c>
      <c r="B3361" s="6" t="s">
        <v>1732</v>
      </c>
      <c r="C3361" s="6" t="s">
        <v>1614</v>
      </c>
      <c r="D3361" s="6" t="s">
        <v>1733</v>
      </c>
      <c r="E3361" s="6" t="s">
        <v>32</v>
      </c>
    </row>
    <row r="3362" spans="1:5" ht="30" customHeight="1">
      <c r="A3362" s="6">
        <v>3360</v>
      </c>
      <c r="B3362" s="6" t="s">
        <v>1734</v>
      </c>
      <c r="C3362" s="6" t="s">
        <v>1614</v>
      </c>
      <c r="D3362" s="6" t="s">
        <v>1735</v>
      </c>
      <c r="E3362" s="6" t="s">
        <v>15</v>
      </c>
    </row>
    <row r="3363" spans="1:5" ht="30" customHeight="1">
      <c r="A3363" s="6">
        <v>3361</v>
      </c>
      <c r="B3363" s="6" t="s">
        <v>1736</v>
      </c>
      <c r="C3363" s="6" t="s">
        <v>1614</v>
      </c>
      <c r="D3363" s="6" t="s">
        <v>1737</v>
      </c>
      <c r="E3363" s="6" t="s">
        <v>32</v>
      </c>
    </row>
    <row r="3364" spans="1:5" ht="30" customHeight="1">
      <c r="A3364" s="6">
        <v>3362</v>
      </c>
      <c r="B3364" s="6" t="s">
        <v>1738</v>
      </c>
      <c r="C3364" s="6" t="s">
        <v>1614</v>
      </c>
      <c r="D3364" s="6" t="s">
        <v>1739</v>
      </c>
      <c r="E3364" s="6" t="s">
        <v>32</v>
      </c>
    </row>
    <row r="3365" spans="1:5" ht="30" customHeight="1">
      <c r="A3365" s="6">
        <v>3363</v>
      </c>
      <c r="B3365" s="6" t="s">
        <v>1740</v>
      </c>
      <c r="C3365" s="6" t="s">
        <v>1614</v>
      </c>
      <c r="D3365" s="6" t="s">
        <v>1741</v>
      </c>
      <c r="E3365" s="6" t="s">
        <v>15</v>
      </c>
    </row>
    <row r="3366" spans="1:5" ht="30" customHeight="1">
      <c r="A3366" s="6">
        <v>3364</v>
      </c>
      <c r="B3366" s="6" t="s">
        <v>1742</v>
      </c>
      <c r="C3366" s="6" t="s">
        <v>1614</v>
      </c>
      <c r="D3366" s="6" t="s">
        <v>1743</v>
      </c>
      <c r="E3366" s="6" t="s">
        <v>32</v>
      </c>
    </row>
    <row r="3367" spans="1:5" ht="30" customHeight="1">
      <c r="A3367" s="6">
        <v>3365</v>
      </c>
      <c r="B3367" s="6" t="s">
        <v>1744</v>
      </c>
      <c r="C3367" s="6" t="s">
        <v>1614</v>
      </c>
      <c r="D3367" s="6" t="s">
        <v>1745</v>
      </c>
      <c r="E3367" s="6" t="s">
        <v>32</v>
      </c>
    </row>
    <row r="3368" spans="1:5" ht="30" customHeight="1">
      <c r="A3368" s="6">
        <v>3366</v>
      </c>
      <c r="B3368" s="6" t="s">
        <v>1746</v>
      </c>
      <c r="C3368" s="6" t="s">
        <v>1614</v>
      </c>
      <c r="D3368" s="6" t="s">
        <v>1747</v>
      </c>
      <c r="E3368" s="6" t="s">
        <v>32</v>
      </c>
    </row>
    <row r="3369" spans="1:5" ht="30" customHeight="1">
      <c r="A3369" s="6">
        <v>3367</v>
      </c>
      <c r="B3369" s="6" t="s">
        <v>1748</v>
      </c>
      <c r="C3369" s="6" t="s">
        <v>1614</v>
      </c>
      <c r="D3369" s="6" t="s">
        <v>1749</v>
      </c>
      <c r="E3369" s="6" t="s">
        <v>32</v>
      </c>
    </row>
    <row r="3370" spans="1:5" ht="30" customHeight="1">
      <c r="A3370" s="6">
        <v>3368</v>
      </c>
      <c r="B3370" s="6" t="s">
        <v>1750</v>
      </c>
      <c r="C3370" s="6" t="s">
        <v>1614</v>
      </c>
      <c r="D3370" s="6" t="s">
        <v>1751</v>
      </c>
      <c r="E3370" s="6" t="s">
        <v>32</v>
      </c>
    </row>
    <row r="3371" spans="1:5" ht="30" customHeight="1">
      <c r="A3371" s="6">
        <v>3369</v>
      </c>
      <c r="B3371" s="6" t="s">
        <v>1752</v>
      </c>
      <c r="C3371" s="6" t="s">
        <v>1614</v>
      </c>
      <c r="D3371" s="6" t="s">
        <v>1753</v>
      </c>
      <c r="E3371" s="6" t="s">
        <v>32</v>
      </c>
    </row>
    <row r="3372" spans="1:5" ht="30" customHeight="1">
      <c r="A3372" s="6">
        <v>3370</v>
      </c>
      <c r="B3372" s="6" t="s">
        <v>1754</v>
      </c>
      <c r="C3372" s="6" t="s">
        <v>1614</v>
      </c>
      <c r="D3372" s="6" t="s">
        <v>1755</v>
      </c>
      <c r="E3372" s="6" t="s">
        <v>32</v>
      </c>
    </row>
    <row r="3373" spans="1:5" ht="30" customHeight="1">
      <c r="A3373" s="6">
        <v>3371</v>
      </c>
      <c r="B3373" s="6" t="s">
        <v>1756</v>
      </c>
      <c r="C3373" s="6" t="s">
        <v>1614</v>
      </c>
      <c r="D3373" s="6" t="s">
        <v>1757</v>
      </c>
      <c r="E3373" s="6" t="s">
        <v>15</v>
      </c>
    </row>
    <row r="3374" spans="1:5" ht="30" customHeight="1">
      <c r="A3374" s="6">
        <v>3372</v>
      </c>
      <c r="B3374" s="6" t="s">
        <v>1758</v>
      </c>
      <c r="C3374" s="6" t="s">
        <v>1614</v>
      </c>
      <c r="D3374" s="6" t="s">
        <v>1759</v>
      </c>
      <c r="E3374" s="6" t="s">
        <v>32</v>
      </c>
    </row>
    <row r="3375" spans="1:5" ht="30" customHeight="1">
      <c r="A3375" s="6">
        <v>3373</v>
      </c>
      <c r="B3375" s="6" t="s">
        <v>1760</v>
      </c>
      <c r="C3375" s="6" t="s">
        <v>1614</v>
      </c>
      <c r="D3375" s="6" t="s">
        <v>1761</v>
      </c>
      <c r="E3375" s="6" t="s">
        <v>32</v>
      </c>
    </row>
    <row r="3376" spans="1:5" ht="30" customHeight="1">
      <c r="A3376" s="6">
        <v>3374</v>
      </c>
      <c r="B3376" s="6" t="s">
        <v>1762</v>
      </c>
      <c r="C3376" s="6" t="s">
        <v>1614</v>
      </c>
      <c r="D3376" s="6" t="s">
        <v>1763</v>
      </c>
      <c r="E3376" s="6" t="s">
        <v>32</v>
      </c>
    </row>
    <row r="3377" spans="1:5" ht="30" customHeight="1">
      <c r="A3377" s="6">
        <v>3375</v>
      </c>
      <c r="B3377" s="6" t="s">
        <v>1764</v>
      </c>
      <c r="C3377" s="6" t="s">
        <v>1614</v>
      </c>
      <c r="D3377" s="6" t="s">
        <v>1765</v>
      </c>
      <c r="E3377" s="6" t="s">
        <v>32</v>
      </c>
    </row>
    <row r="3378" spans="1:5" ht="30" customHeight="1">
      <c r="A3378" s="6">
        <v>3376</v>
      </c>
      <c r="B3378" s="6" t="s">
        <v>1766</v>
      </c>
      <c r="C3378" s="6" t="s">
        <v>1614</v>
      </c>
      <c r="D3378" s="6" t="s">
        <v>1767</v>
      </c>
      <c r="E3378" s="6" t="s">
        <v>15</v>
      </c>
    </row>
    <row r="3379" spans="1:5" ht="30" customHeight="1">
      <c r="A3379" s="6">
        <v>3377</v>
      </c>
      <c r="B3379" s="6" t="s">
        <v>1768</v>
      </c>
      <c r="C3379" s="6" t="s">
        <v>1614</v>
      </c>
      <c r="D3379" s="6" t="s">
        <v>1769</v>
      </c>
      <c r="E3379" s="6" t="s">
        <v>32</v>
      </c>
    </row>
    <row r="3380" spans="1:5" ht="30" customHeight="1">
      <c r="A3380" s="6">
        <v>3378</v>
      </c>
      <c r="B3380" s="6" t="s">
        <v>1770</v>
      </c>
      <c r="C3380" s="6" t="s">
        <v>1614</v>
      </c>
      <c r="D3380" s="6" t="s">
        <v>1771</v>
      </c>
      <c r="E3380" s="6" t="s">
        <v>32</v>
      </c>
    </row>
    <row r="3381" spans="1:5" ht="30" customHeight="1">
      <c r="A3381" s="6">
        <v>3379</v>
      </c>
      <c r="B3381" s="6" t="s">
        <v>1772</v>
      </c>
      <c r="C3381" s="6" t="s">
        <v>1614</v>
      </c>
      <c r="D3381" s="6" t="s">
        <v>1773</v>
      </c>
      <c r="E3381" s="6" t="s">
        <v>32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冰冰</cp:lastModifiedBy>
  <dcterms:created xsi:type="dcterms:W3CDTF">2021-06-05T00:43:09Z</dcterms:created>
  <dcterms:modified xsi:type="dcterms:W3CDTF">2021-06-09T04:09:03Z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D2D65710DE194DAAB073D25C0E64B1BE</vt:lpwstr>
  </property>
  <property fmtid="{D5CDD505-2E9C-101B-9397-08002B2CF9AE}" pid="4" name="KSOProductBuildV">
    <vt:lpwstr>2052-11.1.0.10577</vt:lpwstr>
  </property>
</Properties>
</file>