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（合格）中医医院" sheetId="1" r:id="rId1"/>
  </sheets>
  <definedNames>
    <definedName name="_xlnm.Print_Titles" localSheetId="0">'（合格）中医医院'!$1:$2</definedName>
  </definedNames>
  <calcPr fullCalcOnLoad="1"/>
</workbook>
</file>

<file path=xl/sharedStrings.xml><?xml version="1.0" encoding="utf-8"?>
<sst xmlns="http://schemas.openxmlformats.org/spreadsheetml/2006/main" count="562" uniqueCount="80">
  <si>
    <t>海口市中医医院编外招聘专业技术人员资格初审合格人员名单</t>
  </si>
  <si>
    <t>序号</t>
  </si>
  <si>
    <t>报考岗位</t>
  </si>
  <si>
    <t>姓名</t>
  </si>
  <si>
    <t>性别</t>
  </si>
  <si>
    <t>出生年月</t>
  </si>
  <si>
    <t>籍贯</t>
  </si>
  <si>
    <t>全日制教育学历</t>
  </si>
  <si>
    <t>全日制教育学位</t>
  </si>
  <si>
    <t>全日制教育毕业院校</t>
  </si>
  <si>
    <t>全日制教育所学专业</t>
  </si>
  <si>
    <t>专业技术职称等级</t>
  </si>
  <si>
    <t>是否取得规培证或相关证明</t>
  </si>
  <si>
    <t>备注</t>
  </si>
  <si>
    <t>针灸科医师</t>
  </si>
  <si>
    <t>中级</t>
  </si>
  <si>
    <t>是</t>
  </si>
  <si>
    <t>急诊科医师</t>
  </si>
  <si>
    <t>海南省澄迈县</t>
  </si>
  <si>
    <t>初级</t>
  </si>
  <si>
    <t>风湿科医师</t>
  </si>
  <si>
    <t>广西省南宁市</t>
  </si>
  <si>
    <t>海南省三亚市</t>
  </si>
  <si>
    <t>肾内科医师</t>
  </si>
  <si>
    <t>黑龙江省齐齐哈尔市</t>
  </si>
  <si>
    <t>海南省海口市</t>
  </si>
  <si>
    <t>黑龙江省大庆</t>
  </si>
  <si>
    <t>内分泌科医师</t>
  </si>
  <si>
    <t>海南省昌江县</t>
  </si>
  <si>
    <t>治未病干预治疗（针灸推拿医师）</t>
  </si>
  <si>
    <t>湖南省安仁县</t>
  </si>
  <si>
    <t>肺病科医师</t>
  </si>
  <si>
    <t>脾胃科（消化内镜）医师</t>
  </si>
  <si>
    <t>海南省定安县</t>
  </si>
  <si>
    <t>海南省文昌市</t>
  </si>
  <si>
    <t>肿瘤科医师</t>
  </si>
  <si>
    <t>儿科医师</t>
  </si>
  <si>
    <t>黑龙江省哈尔滨市</t>
  </si>
  <si>
    <t>放射科诊断医师</t>
  </si>
  <si>
    <t>海南省乐东县</t>
  </si>
  <si>
    <t>麻醉医师</t>
  </si>
  <si>
    <t>河南省郑州市</t>
  </si>
  <si>
    <t>康复医师</t>
  </si>
  <si>
    <t>海南省临高县</t>
  </si>
  <si>
    <t>放射科技师</t>
  </si>
  <si>
    <t>/</t>
  </si>
  <si>
    <t>海南省儋州市</t>
  </si>
  <si>
    <t>海南省东方市</t>
  </si>
  <si>
    <t>海南省洋浦经济</t>
  </si>
  <si>
    <t>海南省万宁市</t>
  </si>
  <si>
    <t>康复治疗师</t>
  </si>
  <si>
    <t>辽宁省铁岭市</t>
  </si>
  <si>
    <t>检验技师</t>
  </si>
  <si>
    <t>河南省信阳市</t>
  </si>
  <si>
    <t>海南省洋浦</t>
  </si>
  <si>
    <t>山东省单县</t>
  </si>
  <si>
    <t>心电图医师</t>
  </si>
  <si>
    <t>湖南省长沙市</t>
  </si>
  <si>
    <t>2010年毕业
无需规培</t>
  </si>
  <si>
    <t>湖南省郴州市</t>
  </si>
  <si>
    <t>超声医师2</t>
  </si>
  <si>
    <t>中药师</t>
  </si>
  <si>
    <t>海南省琼海市</t>
  </si>
  <si>
    <t>甘肃省兰州市</t>
  </si>
  <si>
    <t>海南省屯昌县</t>
  </si>
  <si>
    <t>广东省信宜市</t>
  </si>
  <si>
    <t>护士</t>
  </si>
  <si>
    <t>贵州省龙里县</t>
  </si>
  <si>
    <t>广东省茂名市</t>
  </si>
  <si>
    <t>河南省周口市</t>
  </si>
  <si>
    <t>护理学（涉外护理方向）</t>
  </si>
  <si>
    <t>海南省陵水县</t>
  </si>
  <si>
    <t>助产士</t>
  </si>
  <si>
    <t>全日制大专</t>
  </si>
  <si>
    <t>财务科会计</t>
  </si>
  <si>
    <t>湖南省永州市</t>
  </si>
  <si>
    <t>广西河池市</t>
  </si>
  <si>
    <t>江西省吉安市</t>
  </si>
  <si>
    <t>广东省揭阳市</t>
  </si>
  <si>
    <t>海南省白沙县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</si>
</sst>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workbookViewId="0" topLeftCell="A138">
      <selection activeCell="E149" sqref="E149"/>
    </sheetView>
  </sheetViews>
  <sheetFormatPr defaultColWidth="9.00390625" defaultRowHeight="15"/>
  <cols>
    <col min="1" max="1" width="6.421875" style="2" customWidth="1"/>
    <col min="2" max="2" width="17.8515625" style="2" customWidth="1"/>
    <col min="3" max="3" width="7.421875" style="2" customWidth="1"/>
    <col min="4" max="4" width="5.28125" style="2" customWidth="1"/>
    <col min="5" max="5" width="11.421875" style="2" customWidth="1"/>
    <col min="6" max="6" width="8.140625" style="2" customWidth="1"/>
    <col min="7" max="8" width="9.7109375" style="2" customWidth="1"/>
    <col min="9" max="9" width="19.7109375" style="2" customWidth="1"/>
    <col min="10" max="10" width="16.00390625" style="2" customWidth="1"/>
    <col min="11" max="11" width="10.00390625" style="2" customWidth="1"/>
    <col min="12" max="12" width="14.421875" style="2" customWidth="1"/>
    <col min="13" max="13" width="9.421875" style="2" customWidth="1"/>
    <col min="14" max="16384" width="9.00390625" style="2" customWidth="1"/>
  </cols>
  <sheetData>
    <row r="1" spans="1:13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0" customHeight="1">
      <c r="A3" s="6">
        <v>1</v>
      </c>
      <c r="B3" s="6" t="s">
        <v>14</v>
      </c>
      <c r="C3" s="6" t="str">
        <f>"谢玉春"</f>
        <v>谢玉春</v>
      </c>
      <c r="D3" s="6" t="str">
        <f>"女"</f>
        <v>女</v>
      </c>
      <c r="E3" s="6" t="str">
        <f>"1986-12-07"</f>
        <v>1986-12-07</v>
      </c>
      <c r="F3" s="6" t="str">
        <f>"海南省陵水县"</f>
        <v>海南省陵水县</v>
      </c>
      <c r="G3" s="6" t="str">
        <f aca="true" t="shared" si="0" ref="G3:G22">"研究生"</f>
        <v>研究生</v>
      </c>
      <c r="H3" s="6" t="str">
        <f aca="true" t="shared" si="1" ref="H3:H22">"硕士"</f>
        <v>硕士</v>
      </c>
      <c r="I3" s="6" t="str">
        <f>"山西中医药大学"</f>
        <v>山西中医药大学</v>
      </c>
      <c r="J3" s="6" t="str">
        <f>"针灸推拿学"</f>
        <v>针灸推拿学</v>
      </c>
      <c r="K3" s="6" t="s">
        <v>15</v>
      </c>
      <c r="L3" s="6" t="s">
        <v>16</v>
      </c>
      <c r="M3" s="6"/>
    </row>
    <row r="4" spans="1:13" ht="30" customHeight="1">
      <c r="A4" s="6">
        <v>2</v>
      </c>
      <c r="B4" s="7" t="s">
        <v>17</v>
      </c>
      <c r="C4" s="6" t="str">
        <f>"王利再"</f>
        <v>王利再</v>
      </c>
      <c r="D4" s="6" t="str">
        <f>"男"</f>
        <v>男</v>
      </c>
      <c r="E4" s="6" t="str">
        <f>"1985-11-01"</f>
        <v>1985-11-01</v>
      </c>
      <c r="F4" s="6" t="s">
        <v>18</v>
      </c>
      <c r="G4" s="6" t="str">
        <f t="shared" si="0"/>
        <v>研究生</v>
      </c>
      <c r="H4" s="6" t="str">
        <f t="shared" si="1"/>
        <v>硕士</v>
      </c>
      <c r="I4" s="6" t="str">
        <f>"湖南中医药大学"</f>
        <v>湖南中医药大学</v>
      </c>
      <c r="J4" s="6" t="str">
        <f>"中医七年制（急诊创伤骨科方向）"</f>
        <v>中医七年制（急诊创伤骨科方向）</v>
      </c>
      <c r="K4" s="6" t="s">
        <v>19</v>
      </c>
      <c r="L4" s="6" t="s">
        <v>16</v>
      </c>
      <c r="M4" s="6"/>
    </row>
    <row r="5" spans="1:13" ht="30" customHeight="1">
      <c r="A5" s="6">
        <v>3</v>
      </c>
      <c r="B5" s="8"/>
      <c r="C5" s="6" t="str">
        <f>"翁惠珍"</f>
        <v>翁惠珍</v>
      </c>
      <c r="D5" s="6" t="str">
        <f aca="true" t="shared" si="2" ref="D5:D15">"女"</f>
        <v>女</v>
      </c>
      <c r="E5" s="6" t="str">
        <f>"1992-09-30"</f>
        <v>1992-09-30</v>
      </c>
      <c r="F5" s="6" t="str">
        <f>"海南省万宁市"</f>
        <v>海南省万宁市</v>
      </c>
      <c r="G5" s="6" t="str">
        <f t="shared" si="0"/>
        <v>研究生</v>
      </c>
      <c r="H5" s="6" t="str">
        <f t="shared" si="1"/>
        <v>硕士</v>
      </c>
      <c r="I5" s="6" t="str">
        <f>"广州中医药大学"</f>
        <v>广州中医药大学</v>
      </c>
      <c r="J5" s="6" t="str">
        <f>"中西医结合临床"</f>
        <v>中西医结合临床</v>
      </c>
      <c r="K5" s="6" t="s">
        <v>19</v>
      </c>
      <c r="L5" s="6" t="s">
        <v>16</v>
      </c>
      <c r="M5" s="6"/>
    </row>
    <row r="6" spans="1:13" ht="30" customHeight="1">
      <c r="A6" s="6">
        <v>4</v>
      </c>
      <c r="B6" s="7" t="s">
        <v>20</v>
      </c>
      <c r="C6" s="6" t="str">
        <f>"吴佳丽"</f>
        <v>吴佳丽</v>
      </c>
      <c r="D6" s="6" t="str">
        <f t="shared" si="2"/>
        <v>女</v>
      </c>
      <c r="E6" s="6" t="str">
        <f>"1993-02-17"</f>
        <v>1993-02-17</v>
      </c>
      <c r="F6" s="6" t="s">
        <v>21</v>
      </c>
      <c r="G6" s="6" t="str">
        <f t="shared" si="0"/>
        <v>研究生</v>
      </c>
      <c r="H6" s="6" t="str">
        <f t="shared" si="1"/>
        <v>硕士</v>
      </c>
      <c r="I6" s="6" t="str">
        <f>"湖南中医药大学"</f>
        <v>湖南中医药大学</v>
      </c>
      <c r="J6" s="6" t="str">
        <f aca="true" t="shared" si="3" ref="J6:J8">"中医内科学"</f>
        <v>中医内科学</v>
      </c>
      <c r="K6" s="6" t="s">
        <v>19</v>
      </c>
      <c r="L6" s="6" t="s">
        <v>16</v>
      </c>
      <c r="M6" s="6"/>
    </row>
    <row r="7" spans="1:13" ht="30" customHeight="1">
      <c r="A7" s="6">
        <v>5</v>
      </c>
      <c r="B7" s="8"/>
      <c r="C7" s="6" t="str">
        <f>"熊美娇"</f>
        <v>熊美娇</v>
      </c>
      <c r="D7" s="6" t="str">
        <f t="shared" si="2"/>
        <v>女</v>
      </c>
      <c r="E7" s="6" t="str">
        <f>"1989-09-04"</f>
        <v>1989-09-04</v>
      </c>
      <c r="F7" s="6" t="s">
        <v>22</v>
      </c>
      <c r="G7" s="6" t="str">
        <f t="shared" si="0"/>
        <v>研究生</v>
      </c>
      <c r="H7" s="6" t="str">
        <f t="shared" si="1"/>
        <v>硕士</v>
      </c>
      <c r="I7" s="6" t="str">
        <f>"福建中医药大学"</f>
        <v>福建中医药大学</v>
      </c>
      <c r="J7" s="6" t="str">
        <f t="shared" si="3"/>
        <v>中医内科学</v>
      </c>
      <c r="K7" s="6" t="s">
        <v>19</v>
      </c>
      <c r="L7" s="6" t="s">
        <v>16</v>
      </c>
      <c r="M7" s="6"/>
    </row>
    <row r="8" spans="1:13" ht="30" customHeight="1">
      <c r="A8" s="6">
        <v>6</v>
      </c>
      <c r="B8" s="7" t="s">
        <v>23</v>
      </c>
      <c r="C8" s="6" t="str">
        <f>"高思博"</f>
        <v>高思博</v>
      </c>
      <c r="D8" s="6" t="str">
        <f t="shared" si="2"/>
        <v>女</v>
      </c>
      <c r="E8" s="6" t="str">
        <f>"1986-12-02"</f>
        <v>1986-12-02</v>
      </c>
      <c r="F8" s="6" t="s">
        <v>24</v>
      </c>
      <c r="G8" s="6" t="str">
        <f t="shared" si="0"/>
        <v>研究生</v>
      </c>
      <c r="H8" s="6" t="str">
        <f t="shared" si="1"/>
        <v>硕士</v>
      </c>
      <c r="I8" s="6" t="str">
        <f aca="true" t="shared" si="4" ref="I8:I10">"黑龙江中医药大学"</f>
        <v>黑龙江中医药大学</v>
      </c>
      <c r="J8" s="6" t="str">
        <f t="shared" si="3"/>
        <v>中医内科学</v>
      </c>
      <c r="K8" s="6" t="s">
        <v>19</v>
      </c>
      <c r="L8" s="6" t="s">
        <v>16</v>
      </c>
      <c r="M8" s="6"/>
    </row>
    <row r="9" spans="1:13" ht="30" customHeight="1">
      <c r="A9" s="6">
        <v>7</v>
      </c>
      <c r="B9" s="9"/>
      <c r="C9" s="6" t="str">
        <f>"冼小翠"</f>
        <v>冼小翠</v>
      </c>
      <c r="D9" s="6" t="str">
        <f t="shared" si="2"/>
        <v>女</v>
      </c>
      <c r="E9" s="6" t="str">
        <f>"1990-05-11"</f>
        <v>1990-05-11</v>
      </c>
      <c r="F9" s="6" t="s">
        <v>25</v>
      </c>
      <c r="G9" s="6" t="str">
        <f t="shared" si="0"/>
        <v>研究生</v>
      </c>
      <c r="H9" s="6" t="str">
        <f t="shared" si="1"/>
        <v>硕士</v>
      </c>
      <c r="I9" s="6" t="str">
        <f t="shared" si="4"/>
        <v>黑龙江中医药大学</v>
      </c>
      <c r="J9" s="6" t="str">
        <f>"中医学（七年制）"</f>
        <v>中医学（七年制）</v>
      </c>
      <c r="K9" s="6" t="s">
        <v>19</v>
      </c>
      <c r="L9" s="6" t="s">
        <v>16</v>
      </c>
      <c r="M9" s="6"/>
    </row>
    <row r="10" spans="1:13" ht="30" customHeight="1">
      <c r="A10" s="6">
        <v>8</v>
      </c>
      <c r="B10" s="8"/>
      <c r="C10" s="6" t="str">
        <f>"王润韵"</f>
        <v>王润韵</v>
      </c>
      <c r="D10" s="6" t="str">
        <f t="shared" si="2"/>
        <v>女</v>
      </c>
      <c r="E10" s="6" t="str">
        <f>"1991-02-22"</f>
        <v>1991-02-22</v>
      </c>
      <c r="F10" s="6" t="s">
        <v>26</v>
      </c>
      <c r="G10" s="6" t="str">
        <f t="shared" si="0"/>
        <v>研究生</v>
      </c>
      <c r="H10" s="6" t="str">
        <f t="shared" si="1"/>
        <v>硕士</v>
      </c>
      <c r="I10" s="6" t="str">
        <f t="shared" si="4"/>
        <v>黑龙江中医药大学</v>
      </c>
      <c r="J10" s="6" t="str">
        <f>"中西医结合临床"</f>
        <v>中西医结合临床</v>
      </c>
      <c r="K10" s="6" t="s">
        <v>19</v>
      </c>
      <c r="L10" s="6" t="s">
        <v>16</v>
      </c>
      <c r="M10" s="6"/>
    </row>
    <row r="11" spans="1:13" ht="30" customHeight="1">
      <c r="A11" s="6">
        <v>9</v>
      </c>
      <c r="B11" s="6" t="s">
        <v>27</v>
      </c>
      <c r="C11" s="6" t="str">
        <f>"符芳"</f>
        <v>符芳</v>
      </c>
      <c r="D11" s="6" t="str">
        <f t="shared" si="2"/>
        <v>女</v>
      </c>
      <c r="E11" s="6" t="str">
        <f>"1992-06-10"</f>
        <v>1992-06-10</v>
      </c>
      <c r="F11" s="6" t="s">
        <v>28</v>
      </c>
      <c r="G11" s="6" t="str">
        <f t="shared" si="0"/>
        <v>研究生</v>
      </c>
      <c r="H11" s="6" t="str">
        <f t="shared" si="1"/>
        <v>硕士</v>
      </c>
      <c r="I11" s="6" t="str">
        <f>"广西中医药大学"</f>
        <v>广西中医药大学</v>
      </c>
      <c r="J11" s="6" t="str">
        <f>"中医内科学（内分泌代谢性疾病中医防治）"</f>
        <v>中医内科学（内分泌代谢性疾病中医防治）</v>
      </c>
      <c r="K11" s="6" t="s">
        <v>19</v>
      </c>
      <c r="L11" s="6" t="s">
        <v>16</v>
      </c>
      <c r="M11" s="6"/>
    </row>
    <row r="12" spans="1:13" ht="30" customHeight="1">
      <c r="A12" s="6">
        <v>10</v>
      </c>
      <c r="B12" s="6" t="s">
        <v>29</v>
      </c>
      <c r="C12" s="6" t="str">
        <f>"张蕴之"</f>
        <v>张蕴之</v>
      </c>
      <c r="D12" s="6" t="str">
        <f t="shared" si="2"/>
        <v>女</v>
      </c>
      <c r="E12" s="6" t="str">
        <f>"1994-10-16"</f>
        <v>1994-10-16</v>
      </c>
      <c r="F12" s="6" t="s">
        <v>30</v>
      </c>
      <c r="G12" s="6" t="str">
        <f t="shared" si="0"/>
        <v>研究生</v>
      </c>
      <c r="H12" s="6" t="str">
        <f t="shared" si="1"/>
        <v>硕士</v>
      </c>
      <c r="I12" s="6" t="str">
        <f>"广州中医药大学"</f>
        <v>广州中医药大学</v>
      </c>
      <c r="J12" s="6" t="str">
        <f>"针灸推拿学"</f>
        <v>针灸推拿学</v>
      </c>
      <c r="K12" s="6" t="s">
        <v>19</v>
      </c>
      <c r="L12" s="6" t="s">
        <v>16</v>
      </c>
      <c r="M12" s="6"/>
    </row>
    <row r="13" spans="1:13" ht="30" customHeight="1">
      <c r="A13" s="6">
        <v>11</v>
      </c>
      <c r="B13" s="6" t="s">
        <v>31</v>
      </c>
      <c r="C13" s="6" t="str">
        <f>"陈艳巧"</f>
        <v>陈艳巧</v>
      </c>
      <c r="D13" s="6" t="str">
        <f t="shared" si="2"/>
        <v>女</v>
      </c>
      <c r="E13" s="6" t="str">
        <f>"1993-03-28"</f>
        <v>1993-03-28</v>
      </c>
      <c r="F13" s="6" t="s">
        <v>25</v>
      </c>
      <c r="G13" s="6" t="str">
        <f t="shared" si="0"/>
        <v>研究生</v>
      </c>
      <c r="H13" s="6" t="str">
        <f t="shared" si="1"/>
        <v>硕士</v>
      </c>
      <c r="I13" s="6" t="str">
        <f>"湖南中医药大学"</f>
        <v>湖南中医药大学</v>
      </c>
      <c r="J13" s="6" t="str">
        <f>"中医内科学（呼吸系统方向）"</f>
        <v>中医内科学（呼吸系统方向）</v>
      </c>
      <c r="K13" s="6" t="s">
        <v>19</v>
      </c>
      <c r="L13" s="6" t="s">
        <v>16</v>
      </c>
      <c r="M13" s="6"/>
    </row>
    <row r="14" spans="1:13" ht="30" customHeight="1">
      <c r="A14" s="6">
        <v>12</v>
      </c>
      <c r="B14" s="7" t="s">
        <v>32</v>
      </c>
      <c r="C14" s="6" t="str">
        <f>"王绥美"</f>
        <v>王绥美</v>
      </c>
      <c r="D14" s="6" t="str">
        <f t="shared" si="2"/>
        <v>女</v>
      </c>
      <c r="E14" s="6" t="str">
        <f>"1990-09-23"</f>
        <v>1990-09-23</v>
      </c>
      <c r="F14" s="6" t="s">
        <v>33</v>
      </c>
      <c r="G14" s="6" t="str">
        <f t="shared" si="0"/>
        <v>研究生</v>
      </c>
      <c r="H14" s="6" t="str">
        <f t="shared" si="1"/>
        <v>硕士</v>
      </c>
      <c r="I14" s="6" t="str">
        <f>"贵阳中医学院"</f>
        <v>贵阳中医学院</v>
      </c>
      <c r="J14" s="6" t="str">
        <f>"中西医结合临床专业消化内科疾病治疗方向"</f>
        <v>中西医结合临床专业消化内科疾病治疗方向</v>
      </c>
      <c r="K14" s="6" t="s">
        <v>15</v>
      </c>
      <c r="L14" s="6" t="s">
        <v>16</v>
      </c>
      <c r="M14" s="6"/>
    </row>
    <row r="15" spans="1:13" ht="30" customHeight="1">
      <c r="A15" s="6">
        <v>13</v>
      </c>
      <c r="B15" s="9"/>
      <c r="C15" s="6" t="str">
        <f>"符欣"</f>
        <v>符欣</v>
      </c>
      <c r="D15" s="6" t="str">
        <f t="shared" si="2"/>
        <v>女</v>
      </c>
      <c r="E15" s="6" t="str">
        <f>"1994-02-06"</f>
        <v>1994-02-06</v>
      </c>
      <c r="F15" s="6" t="s">
        <v>34</v>
      </c>
      <c r="G15" s="6" t="str">
        <f t="shared" si="0"/>
        <v>研究生</v>
      </c>
      <c r="H15" s="6" t="str">
        <f t="shared" si="1"/>
        <v>硕士</v>
      </c>
      <c r="I15" s="6" t="str">
        <f>"北京中医药大学"</f>
        <v>北京中医药大学</v>
      </c>
      <c r="J15" s="6" t="str">
        <f>"中医学"</f>
        <v>中医学</v>
      </c>
      <c r="K15" s="6" t="s">
        <v>19</v>
      </c>
      <c r="L15" s="6" t="s">
        <v>16</v>
      </c>
      <c r="M15" s="6"/>
    </row>
    <row r="16" spans="1:13" ht="30" customHeight="1">
      <c r="A16" s="6">
        <v>14</v>
      </c>
      <c r="B16" s="8"/>
      <c r="C16" s="6" t="str">
        <f>"黄佳钦"</f>
        <v>黄佳钦</v>
      </c>
      <c r="D16" s="6" t="str">
        <f>"男"</f>
        <v>男</v>
      </c>
      <c r="E16" s="6" t="str">
        <f>"1993-10-28"</f>
        <v>1993-10-28</v>
      </c>
      <c r="F16" s="6" t="str">
        <f>"浙江省余姚市"</f>
        <v>浙江省余姚市</v>
      </c>
      <c r="G16" s="6" t="str">
        <f t="shared" si="0"/>
        <v>研究生</v>
      </c>
      <c r="H16" s="6" t="str">
        <f t="shared" si="1"/>
        <v>硕士</v>
      </c>
      <c r="I16" s="6" t="str">
        <f>"北京中医药大学"</f>
        <v>北京中医药大学</v>
      </c>
      <c r="J16" s="6" t="str">
        <f>"中医学"</f>
        <v>中医学</v>
      </c>
      <c r="K16" s="6" t="s">
        <v>19</v>
      </c>
      <c r="L16" s="6" t="s">
        <v>16</v>
      </c>
      <c r="M16" s="6"/>
    </row>
    <row r="17" spans="1:13" ht="30" customHeight="1">
      <c r="A17" s="6">
        <v>15</v>
      </c>
      <c r="B17" s="7" t="s">
        <v>35</v>
      </c>
      <c r="C17" s="6" t="str">
        <f>"邱裕莹"</f>
        <v>邱裕莹</v>
      </c>
      <c r="D17" s="6" t="str">
        <f aca="true" t="shared" si="5" ref="D17:D21">"女"</f>
        <v>女</v>
      </c>
      <c r="E17" s="6" t="str">
        <f>"1992-10-01"</f>
        <v>1992-10-01</v>
      </c>
      <c r="F17" s="6" t="s">
        <v>18</v>
      </c>
      <c r="G17" s="6" t="str">
        <f t="shared" si="0"/>
        <v>研究生</v>
      </c>
      <c r="H17" s="6" t="str">
        <f t="shared" si="1"/>
        <v>硕士</v>
      </c>
      <c r="I17" s="6" t="str">
        <f>"黑龙江中医药大学"</f>
        <v>黑龙江中医药大学</v>
      </c>
      <c r="J17" s="6" t="str">
        <f>"中医"</f>
        <v>中医</v>
      </c>
      <c r="K17" s="6" t="s">
        <v>19</v>
      </c>
      <c r="L17" s="6" t="s">
        <v>16</v>
      </c>
      <c r="M17" s="6"/>
    </row>
    <row r="18" spans="1:13" ht="30" customHeight="1">
      <c r="A18" s="6">
        <v>16</v>
      </c>
      <c r="B18" s="8"/>
      <c r="C18" s="6" t="str">
        <f>"刘丽菲"</f>
        <v>刘丽菲</v>
      </c>
      <c r="D18" s="6" t="str">
        <f t="shared" si="5"/>
        <v>女</v>
      </c>
      <c r="E18" s="6" t="str">
        <f>"1991-12-24"</f>
        <v>1991-12-24</v>
      </c>
      <c r="F18" s="6" t="str">
        <f>"山西省临汾市"</f>
        <v>山西省临汾市</v>
      </c>
      <c r="G18" s="6" t="str">
        <f t="shared" si="0"/>
        <v>研究生</v>
      </c>
      <c r="H18" s="6" t="str">
        <f t="shared" si="1"/>
        <v>硕士</v>
      </c>
      <c r="I18" s="6" t="str">
        <f>"山西中医药大学"</f>
        <v>山西中医药大学</v>
      </c>
      <c r="J18" s="6" t="str">
        <f>"中西医结合临床医学/中医妇科学"</f>
        <v>中西医结合临床医学/中医妇科学</v>
      </c>
      <c r="K18" s="6" t="s">
        <v>19</v>
      </c>
      <c r="L18" s="6" t="s">
        <v>16</v>
      </c>
      <c r="M18" s="6"/>
    </row>
    <row r="19" spans="1:13" ht="30" customHeight="1">
      <c r="A19" s="6">
        <v>17</v>
      </c>
      <c r="B19" s="7" t="s">
        <v>36</v>
      </c>
      <c r="C19" s="6" t="str">
        <f>"王一琦"</f>
        <v>王一琦</v>
      </c>
      <c r="D19" s="6" t="str">
        <f t="shared" si="5"/>
        <v>女</v>
      </c>
      <c r="E19" s="6" t="str">
        <f>"1992-07-19"</f>
        <v>1992-07-19</v>
      </c>
      <c r="F19" s="6" t="str">
        <f>"海南琼中"</f>
        <v>海南琼中</v>
      </c>
      <c r="G19" s="6" t="str">
        <f t="shared" si="0"/>
        <v>研究生</v>
      </c>
      <c r="H19" s="6" t="str">
        <f t="shared" si="1"/>
        <v>硕士</v>
      </c>
      <c r="I19" s="6" t="str">
        <f>"云南中医药大学"</f>
        <v>云南中医药大学</v>
      </c>
      <c r="J19" s="6" t="str">
        <f>"中医儿科学"</f>
        <v>中医儿科学</v>
      </c>
      <c r="K19" s="6" t="s">
        <v>19</v>
      </c>
      <c r="L19" s="6" t="s">
        <v>16</v>
      </c>
      <c r="M19" s="6"/>
    </row>
    <row r="20" spans="1:13" ht="30" customHeight="1">
      <c r="A20" s="6">
        <v>18</v>
      </c>
      <c r="B20" s="9"/>
      <c r="C20" s="6" t="str">
        <f>"刘瑶"</f>
        <v>刘瑶</v>
      </c>
      <c r="D20" s="6" t="str">
        <f t="shared" si="5"/>
        <v>女</v>
      </c>
      <c r="E20" s="6" t="str">
        <f>"1991-08-30"</f>
        <v>1991-08-30</v>
      </c>
      <c r="F20" s="6" t="s">
        <v>37</v>
      </c>
      <c r="G20" s="6" t="str">
        <f t="shared" si="0"/>
        <v>研究生</v>
      </c>
      <c r="H20" s="6" t="str">
        <f t="shared" si="1"/>
        <v>硕士</v>
      </c>
      <c r="I20" s="6" t="str">
        <f>"甘肃中医药大学"</f>
        <v>甘肃中医药大学</v>
      </c>
      <c r="J20" s="6" t="str">
        <f>"中医儿科学"</f>
        <v>中医儿科学</v>
      </c>
      <c r="K20" s="6" t="s">
        <v>19</v>
      </c>
      <c r="L20" s="6" t="s">
        <v>16</v>
      </c>
      <c r="M20" s="6"/>
    </row>
    <row r="21" spans="1:13" ht="30" customHeight="1">
      <c r="A21" s="6">
        <v>19</v>
      </c>
      <c r="B21" s="9"/>
      <c r="C21" s="6" t="str">
        <f>"龙鸣嘉"</f>
        <v>龙鸣嘉</v>
      </c>
      <c r="D21" s="6" t="str">
        <f t="shared" si="5"/>
        <v>女</v>
      </c>
      <c r="E21" s="6" t="str">
        <f>"1994-07-24"</f>
        <v>1994-07-24</v>
      </c>
      <c r="F21" s="6" t="s">
        <v>25</v>
      </c>
      <c r="G21" s="6" t="str">
        <f t="shared" si="0"/>
        <v>研究生</v>
      </c>
      <c r="H21" s="6" t="str">
        <f t="shared" si="1"/>
        <v>硕士</v>
      </c>
      <c r="I21" s="6" t="str">
        <f>"黑龙江中医药大学"</f>
        <v>黑龙江中医药大学</v>
      </c>
      <c r="J21" s="6" t="str">
        <f>"中医"</f>
        <v>中医</v>
      </c>
      <c r="K21" s="6" t="s">
        <v>19</v>
      </c>
      <c r="L21" s="6" t="s">
        <v>16</v>
      </c>
      <c r="M21" s="6"/>
    </row>
    <row r="22" spans="1:13" ht="30" customHeight="1">
      <c r="A22" s="6">
        <v>20</v>
      </c>
      <c r="B22" s="8"/>
      <c r="C22" s="6" t="str">
        <f>"刘阳"</f>
        <v>刘阳</v>
      </c>
      <c r="D22" s="6" t="str">
        <f aca="true" t="shared" si="6" ref="D22:D27">"男"</f>
        <v>男</v>
      </c>
      <c r="E22" s="6" t="str">
        <f>"1991-03-29"</f>
        <v>1991-03-29</v>
      </c>
      <c r="F22" s="6" t="str">
        <f>"吉林省长春市"</f>
        <v>吉林省长春市</v>
      </c>
      <c r="G22" s="6" t="str">
        <f t="shared" si="0"/>
        <v>研究生</v>
      </c>
      <c r="H22" s="6" t="str">
        <f t="shared" si="1"/>
        <v>硕士</v>
      </c>
      <c r="I22" s="6" t="str">
        <f>"长春中医药大学"</f>
        <v>长春中医药大学</v>
      </c>
      <c r="J22" s="6" t="str">
        <f>"中西医结合临床"</f>
        <v>中西医结合临床</v>
      </c>
      <c r="K22" s="6" t="s">
        <v>19</v>
      </c>
      <c r="L22" s="6" t="s">
        <v>16</v>
      </c>
      <c r="M22" s="6"/>
    </row>
    <row r="23" spans="1:13" ht="30" customHeight="1">
      <c r="A23" s="6">
        <v>21</v>
      </c>
      <c r="B23" s="7" t="s">
        <v>38</v>
      </c>
      <c r="C23" s="6" t="str">
        <f>"林升艳"</f>
        <v>林升艳</v>
      </c>
      <c r="D23" s="6" t="str">
        <f aca="true" t="shared" si="7" ref="D23:D26">"女"</f>
        <v>女</v>
      </c>
      <c r="E23" s="6" t="str">
        <f>"1991-01-18"</f>
        <v>1991-01-18</v>
      </c>
      <c r="F23" s="6" t="s">
        <v>39</v>
      </c>
      <c r="G23" s="6" t="str">
        <f aca="true" t="shared" si="8" ref="G23:G29">"本科"</f>
        <v>本科</v>
      </c>
      <c r="H23" s="6" t="str">
        <f aca="true" t="shared" si="9" ref="H23:H29">"学士"</f>
        <v>学士</v>
      </c>
      <c r="I23" s="6" t="str">
        <f>"海南医学院"</f>
        <v>海南医学院</v>
      </c>
      <c r="J23" s="6" t="str">
        <f>"医学影像学"</f>
        <v>医学影像学</v>
      </c>
      <c r="K23" s="6" t="s">
        <v>15</v>
      </c>
      <c r="L23" s="6" t="s">
        <v>16</v>
      </c>
      <c r="M23" s="6"/>
    </row>
    <row r="24" spans="1:13" ht="30" customHeight="1">
      <c r="A24" s="6">
        <v>22</v>
      </c>
      <c r="B24" s="8"/>
      <c r="C24" s="6" t="str">
        <f>"刘元通"</f>
        <v>刘元通</v>
      </c>
      <c r="D24" s="6" t="str">
        <f t="shared" si="6"/>
        <v>男</v>
      </c>
      <c r="E24" s="6" t="str">
        <f>"1990-04-22"</f>
        <v>1990-04-22</v>
      </c>
      <c r="F24" s="6" t="str">
        <f>"海南省澄迈县"</f>
        <v>海南省澄迈县</v>
      </c>
      <c r="G24" s="6" t="str">
        <f t="shared" si="8"/>
        <v>本科</v>
      </c>
      <c r="H24" s="6" t="str">
        <f>"无"</f>
        <v>无</v>
      </c>
      <c r="I24" s="6" t="str">
        <f>"海南医学院"</f>
        <v>海南医学院</v>
      </c>
      <c r="J24" s="6" t="str">
        <f>"医学影像学"</f>
        <v>医学影像学</v>
      </c>
      <c r="K24" s="6" t="s">
        <v>19</v>
      </c>
      <c r="L24" s="6" t="s">
        <v>16</v>
      </c>
      <c r="M24" s="6"/>
    </row>
    <row r="25" spans="1:13" ht="30" customHeight="1">
      <c r="A25" s="6">
        <v>23</v>
      </c>
      <c r="B25" s="7" t="s">
        <v>40</v>
      </c>
      <c r="C25" s="6" t="str">
        <f>"吴佳颖"</f>
        <v>吴佳颖</v>
      </c>
      <c r="D25" s="6" t="str">
        <f t="shared" si="7"/>
        <v>女</v>
      </c>
      <c r="E25" s="6" t="str">
        <f>"1992-12-05"</f>
        <v>1992-12-05</v>
      </c>
      <c r="F25" s="6" t="str">
        <f>"海南省海口市"</f>
        <v>海南省海口市</v>
      </c>
      <c r="G25" s="6" t="str">
        <f t="shared" si="8"/>
        <v>本科</v>
      </c>
      <c r="H25" s="6" t="str">
        <f t="shared" si="9"/>
        <v>学士</v>
      </c>
      <c r="I25" s="6" t="str">
        <f>"江西省赣南医学院"</f>
        <v>江西省赣南医学院</v>
      </c>
      <c r="J25" s="6" t="str">
        <f aca="true" t="shared" si="10" ref="J25:J29">"麻醉学"</f>
        <v>麻醉学</v>
      </c>
      <c r="K25" s="6" t="s">
        <v>19</v>
      </c>
      <c r="L25" s="6" t="s">
        <v>16</v>
      </c>
      <c r="M25" s="6"/>
    </row>
    <row r="26" spans="1:13" ht="30" customHeight="1">
      <c r="A26" s="6">
        <v>24</v>
      </c>
      <c r="B26" s="9"/>
      <c r="C26" s="6" t="str">
        <f>"陈鸿艳"</f>
        <v>陈鸿艳</v>
      </c>
      <c r="D26" s="6" t="str">
        <f t="shared" si="7"/>
        <v>女</v>
      </c>
      <c r="E26" s="6" t="str">
        <f>"1990-02-26"</f>
        <v>1990-02-26</v>
      </c>
      <c r="F26" s="6" t="s">
        <v>25</v>
      </c>
      <c r="G26" s="6" t="str">
        <f t="shared" si="8"/>
        <v>本科</v>
      </c>
      <c r="H26" s="6" t="str">
        <f t="shared" si="9"/>
        <v>学士</v>
      </c>
      <c r="I26" s="6" t="str">
        <f>"延边大学"</f>
        <v>延边大学</v>
      </c>
      <c r="J26" s="6" t="str">
        <f>"临床医学"</f>
        <v>临床医学</v>
      </c>
      <c r="K26" s="6" t="s">
        <v>19</v>
      </c>
      <c r="L26" s="6" t="s">
        <v>16</v>
      </c>
      <c r="M26" s="6"/>
    </row>
    <row r="27" spans="1:13" ht="30" customHeight="1">
      <c r="A27" s="6">
        <v>25</v>
      </c>
      <c r="B27" s="9"/>
      <c r="C27" s="6" t="str">
        <f>"张伊川"</f>
        <v>张伊川</v>
      </c>
      <c r="D27" s="6" t="str">
        <f t="shared" si="6"/>
        <v>男</v>
      </c>
      <c r="E27" s="6" t="str">
        <f>"1987-02-14"</f>
        <v>1987-02-14</v>
      </c>
      <c r="F27" s="6" t="s">
        <v>25</v>
      </c>
      <c r="G27" s="6" t="str">
        <f t="shared" si="8"/>
        <v>本科</v>
      </c>
      <c r="H27" s="6" t="str">
        <f t="shared" si="9"/>
        <v>学士</v>
      </c>
      <c r="I27" s="6" t="str">
        <f>"延边大学"</f>
        <v>延边大学</v>
      </c>
      <c r="J27" s="6" t="str">
        <f t="shared" si="10"/>
        <v>麻醉学</v>
      </c>
      <c r="K27" s="6" t="s">
        <v>19</v>
      </c>
      <c r="L27" s="6" t="s">
        <v>16</v>
      </c>
      <c r="M27" s="6"/>
    </row>
    <row r="28" spans="1:13" ht="30" customHeight="1">
      <c r="A28" s="6">
        <v>26</v>
      </c>
      <c r="B28" s="9"/>
      <c r="C28" s="6" t="str">
        <f>"靳闪"</f>
        <v>靳闪</v>
      </c>
      <c r="D28" s="6" t="str">
        <f>"女"</f>
        <v>女</v>
      </c>
      <c r="E28" s="6" t="str">
        <f>"1991-02-17"</f>
        <v>1991-02-17</v>
      </c>
      <c r="F28" s="6" t="s">
        <v>41</v>
      </c>
      <c r="G28" s="6" t="str">
        <f t="shared" si="8"/>
        <v>本科</v>
      </c>
      <c r="H28" s="6" t="str">
        <f t="shared" si="9"/>
        <v>学士</v>
      </c>
      <c r="I28" s="6" t="str">
        <f>"重庆医科大学"</f>
        <v>重庆医科大学</v>
      </c>
      <c r="J28" s="6" t="str">
        <f t="shared" si="10"/>
        <v>麻醉学</v>
      </c>
      <c r="K28" s="6" t="str">
        <f>"中级"</f>
        <v>中级</v>
      </c>
      <c r="L28" s="6" t="s">
        <v>16</v>
      </c>
      <c r="M28" s="6"/>
    </row>
    <row r="29" spans="1:13" ht="30" customHeight="1">
      <c r="A29" s="6">
        <v>27</v>
      </c>
      <c r="B29" s="8"/>
      <c r="C29" s="6" t="str">
        <f>"张珮嘉"</f>
        <v>张珮嘉</v>
      </c>
      <c r="D29" s="6" t="str">
        <f>"女"</f>
        <v>女</v>
      </c>
      <c r="E29" s="6" t="str">
        <f>"1994-08-31"</f>
        <v>1994-08-31</v>
      </c>
      <c r="F29" s="6" t="str">
        <f>"海南省乐东县"</f>
        <v>海南省乐东县</v>
      </c>
      <c r="G29" s="6" t="str">
        <f t="shared" si="8"/>
        <v>本科</v>
      </c>
      <c r="H29" s="6" t="str">
        <f t="shared" si="9"/>
        <v>学士</v>
      </c>
      <c r="I29" s="6" t="str">
        <f>"贵州医科大学"</f>
        <v>贵州医科大学</v>
      </c>
      <c r="J29" s="6" t="str">
        <f t="shared" si="10"/>
        <v>麻醉学</v>
      </c>
      <c r="K29" s="6" t="s">
        <v>19</v>
      </c>
      <c r="L29" s="6" t="s">
        <v>16</v>
      </c>
      <c r="M29" s="6"/>
    </row>
    <row r="30" spans="1:13" ht="30" customHeight="1">
      <c r="A30" s="6">
        <v>28</v>
      </c>
      <c r="B30" s="7" t="s">
        <v>42</v>
      </c>
      <c r="C30" s="6" t="str">
        <f>"麦耿翰"</f>
        <v>麦耿翰</v>
      </c>
      <c r="D30" s="6" t="str">
        <f aca="true" t="shared" si="11" ref="D30:D33">"男"</f>
        <v>男</v>
      </c>
      <c r="E30" s="6" t="str">
        <f>"1992-03-28"</f>
        <v>1992-03-28</v>
      </c>
      <c r="F30" s="6" t="s">
        <v>43</v>
      </c>
      <c r="G30" s="6" t="str">
        <f>"研究生"</f>
        <v>研究生</v>
      </c>
      <c r="H30" s="6" t="str">
        <f>"硕士"</f>
        <v>硕士</v>
      </c>
      <c r="I30" s="6" t="str">
        <f>"贵州中医药大学"</f>
        <v>贵州中医药大学</v>
      </c>
      <c r="J30" s="6" t="str">
        <f>"针灸推拿学"</f>
        <v>针灸推拿学</v>
      </c>
      <c r="K30" s="6" t="s">
        <v>19</v>
      </c>
      <c r="L30" s="6" t="s">
        <v>16</v>
      </c>
      <c r="M30" s="6"/>
    </row>
    <row r="31" spans="1:13" ht="30" customHeight="1">
      <c r="A31" s="6">
        <v>29</v>
      </c>
      <c r="B31" s="8"/>
      <c r="C31" s="6" t="str">
        <f>"魏巍"</f>
        <v>魏巍</v>
      </c>
      <c r="D31" s="6" t="str">
        <f t="shared" si="11"/>
        <v>男</v>
      </c>
      <c r="E31" s="6" t="str">
        <f>"1986-02-15"</f>
        <v>1986-02-15</v>
      </c>
      <c r="F31" s="6" t="str">
        <f>"内蒙古"</f>
        <v>内蒙古</v>
      </c>
      <c r="G31" s="6" t="str">
        <f>"研究生"</f>
        <v>研究生</v>
      </c>
      <c r="H31" s="6" t="str">
        <f>"硕士"</f>
        <v>硕士</v>
      </c>
      <c r="I31" s="6" t="str">
        <f>"黑龙江省中医药大学"</f>
        <v>黑龙江省中医药大学</v>
      </c>
      <c r="J31" s="6" t="str">
        <f>"针灸推拿学"</f>
        <v>针灸推拿学</v>
      </c>
      <c r="K31" s="6" t="str">
        <f>"中级"</f>
        <v>中级</v>
      </c>
      <c r="L31" s="6" t="s">
        <v>16</v>
      </c>
      <c r="M31" s="6"/>
    </row>
    <row r="32" spans="1:13" ht="30" customHeight="1">
      <c r="A32" s="6">
        <v>30</v>
      </c>
      <c r="B32" s="7" t="s">
        <v>44</v>
      </c>
      <c r="C32" s="6" t="str">
        <f>"张余富"</f>
        <v>张余富</v>
      </c>
      <c r="D32" s="6" t="str">
        <f t="shared" si="11"/>
        <v>男</v>
      </c>
      <c r="E32" s="6" t="str">
        <f>"1994-08-29"</f>
        <v>1994-08-29</v>
      </c>
      <c r="F32" s="6" t="s">
        <v>25</v>
      </c>
      <c r="G32" s="6" t="str">
        <f aca="true" t="shared" si="12" ref="G32:G40">"本科"</f>
        <v>本科</v>
      </c>
      <c r="H32" s="6" t="str">
        <f aca="true" t="shared" si="13" ref="H32:H35">"学士"</f>
        <v>学士</v>
      </c>
      <c r="I32" s="6" t="str">
        <f>"昆明医科大学海源学院"</f>
        <v>昆明医科大学海源学院</v>
      </c>
      <c r="J32" s="6" t="str">
        <f>"影像技术"</f>
        <v>影像技术</v>
      </c>
      <c r="K32" s="6" t="s">
        <v>19</v>
      </c>
      <c r="L32" s="10" t="s">
        <v>45</v>
      </c>
      <c r="M32" s="6"/>
    </row>
    <row r="33" spans="1:13" ht="30" customHeight="1">
      <c r="A33" s="6">
        <v>31</v>
      </c>
      <c r="B33" s="9"/>
      <c r="C33" s="6" t="str">
        <f>"李大位"</f>
        <v>李大位</v>
      </c>
      <c r="D33" s="6" t="str">
        <f t="shared" si="11"/>
        <v>男</v>
      </c>
      <c r="E33" s="6" t="str">
        <f>"1998-05-16"</f>
        <v>1998-05-16</v>
      </c>
      <c r="F33" s="6" t="s">
        <v>46</v>
      </c>
      <c r="G33" s="6" t="str">
        <f t="shared" si="12"/>
        <v>本科</v>
      </c>
      <c r="H33" s="6" t="str">
        <f t="shared" si="13"/>
        <v>学士</v>
      </c>
      <c r="I33" s="6" t="str">
        <f>"长沙医学院"</f>
        <v>长沙医学院</v>
      </c>
      <c r="J33" s="6" t="str">
        <f aca="true" t="shared" si="14" ref="J33:J35">"医学影像技术"</f>
        <v>医学影像技术</v>
      </c>
      <c r="K33" s="6" t="s">
        <v>19</v>
      </c>
      <c r="L33" s="10" t="s">
        <v>45</v>
      </c>
      <c r="M33" s="6"/>
    </row>
    <row r="34" spans="1:13" ht="30" customHeight="1">
      <c r="A34" s="6">
        <v>32</v>
      </c>
      <c r="B34" s="9"/>
      <c r="C34" s="6" t="str">
        <f>"邱玉萍"</f>
        <v>邱玉萍</v>
      </c>
      <c r="D34" s="6" t="str">
        <f aca="true" t="shared" si="15" ref="D34:D39">"女"</f>
        <v>女</v>
      </c>
      <c r="E34" s="6" t="str">
        <f>"1996-08-05"</f>
        <v>1996-08-05</v>
      </c>
      <c r="F34" s="6" t="str">
        <f>"海南省澄迈县"</f>
        <v>海南省澄迈县</v>
      </c>
      <c r="G34" s="6" t="str">
        <f t="shared" si="12"/>
        <v>本科</v>
      </c>
      <c r="H34" s="6" t="str">
        <f t="shared" si="13"/>
        <v>学士</v>
      </c>
      <c r="I34" s="6" t="str">
        <f>"湘南学院"</f>
        <v>湘南学院</v>
      </c>
      <c r="J34" s="6" t="str">
        <f t="shared" si="14"/>
        <v>医学影像技术</v>
      </c>
      <c r="K34" s="6" t="s">
        <v>19</v>
      </c>
      <c r="L34" s="10" t="s">
        <v>45</v>
      </c>
      <c r="M34" s="6"/>
    </row>
    <row r="35" spans="1:13" ht="30" customHeight="1">
      <c r="A35" s="6">
        <v>33</v>
      </c>
      <c r="B35" s="9"/>
      <c r="C35" s="6" t="str">
        <f>"许秀花"</f>
        <v>许秀花</v>
      </c>
      <c r="D35" s="6" t="str">
        <f t="shared" si="15"/>
        <v>女</v>
      </c>
      <c r="E35" s="6" t="str">
        <f>"1992-08-14"</f>
        <v>1992-08-14</v>
      </c>
      <c r="F35" s="6" t="s">
        <v>47</v>
      </c>
      <c r="G35" s="6" t="str">
        <f t="shared" si="12"/>
        <v>本科</v>
      </c>
      <c r="H35" s="6" t="str">
        <f t="shared" si="13"/>
        <v>学士</v>
      </c>
      <c r="I35" s="6" t="str">
        <f>"昆明医科大学海源学院"</f>
        <v>昆明医科大学海源学院</v>
      </c>
      <c r="J35" s="6" t="str">
        <f t="shared" si="14"/>
        <v>医学影像技术</v>
      </c>
      <c r="K35" s="6" t="s">
        <v>19</v>
      </c>
      <c r="L35" s="10" t="s">
        <v>45</v>
      </c>
      <c r="M35" s="6"/>
    </row>
    <row r="36" spans="1:13" ht="30" customHeight="1">
      <c r="A36" s="6">
        <v>34</v>
      </c>
      <c r="B36" s="9"/>
      <c r="C36" s="6" t="str">
        <f>"邢龙"</f>
        <v>邢龙</v>
      </c>
      <c r="D36" s="6" t="str">
        <f>"男"</f>
        <v>男</v>
      </c>
      <c r="E36" s="6" t="str">
        <f>"1988-02-15"</f>
        <v>1988-02-15</v>
      </c>
      <c r="F36" s="6" t="str">
        <f>"海南省乐东县"</f>
        <v>海南省乐东县</v>
      </c>
      <c r="G36" s="6" t="str">
        <f t="shared" si="12"/>
        <v>本科</v>
      </c>
      <c r="H36" s="6" t="str">
        <f>"无"</f>
        <v>无</v>
      </c>
      <c r="I36" s="6" t="str">
        <f>"海南医学院"</f>
        <v>海南医学院</v>
      </c>
      <c r="J36" s="6" t="str">
        <f>"医学影像"</f>
        <v>医学影像</v>
      </c>
      <c r="K36" s="6" t="s">
        <v>15</v>
      </c>
      <c r="L36" s="10" t="s">
        <v>45</v>
      </c>
      <c r="M36" s="6"/>
    </row>
    <row r="37" spans="1:13" ht="30" customHeight="1">
      <c r="A37" s="6">
        <v>35</v>
      </c>
      <c r="B37" s="9"/>
      <c r="C37" s="6" t="str">
        <f>"黎三宝"</f>
        <v>黎三宝</v>
      </c>
      <c r="D37" s="6" t="str">
        <f t="shared" si="15"/>
        <v>女</v>
      </c>
      <c r="E37" s="6" t="str">
        <f>"1992-08-13"</f>
        <v>1992-08-13</v>
      </c>
      <c r="F37" s="6" t="s">
        <v>46</v>
      </c>
      <c r="G37" s="6" t="str">
        <f t="shared" si="12"/>
        <v>本科</v>
      </c>
      <c r="H37" s="6" t="str">
        <f aca="true" t="shared" si="16" ref="H37:H40">"学士"</f>
        <v>学士</v>
      </c>
      <c r="I37" s="6" t="str">
        <f>"赣南医学院"</f>
        <v>赣南医学院</v>
      </c>
      <c r="J37" s="6" t="str">
        <f aca="true" t="shared" si="17" ref="J37:J40">"医学影像技术"</f>
        <v>医学影像技术</v>
      </c>
      <c r="K37" s="6" t="s">
        <v>19</v>
      </c>
      <c r="L37" s="10" t="s">
        <v>45</v>
      </c>
      <c r="M37" s="6"/>
    </row>
    <row r="38" spans="1:13" ht="30" customHeight="1">
      <c r="A38" s="6">
        <v>36</v>
      </c>
      <c r="B38" s="9"/>
      <c r="C38" s="6" t="str">
        <f>"符美川"</f>
        <v>符美川</v>
      </c>
      <c r="D38" s="6" t="str">
        <f t="shared" si="15"/>
        <v>女</v>
      </c>
      <c r="E38" s="6" t="str">
        <f>"1996-12-18"</f>
        <v>1996-12-18</v>
      </c>
      <c r="F38" s="6" t="s">
        <v>48</v>
      </c>
      <c r="G38" s="6" t="str">
        <f t="shared" si="12"/>
        <v>本科</v>
      </c>
      <c r="H38" s="6" t="str">
        <f t="shared" si="16"/>
        <v>学士</v>
      </c>
      <c r="I38" s="6" t="str">
        <f>"湖南医药学院"</f>
        <v>湖南医药学院</v>
      </c>
      <c r="J38" s="6" t="str">
        <f t="shared" si="17"/>
        <v>医学影像技术</v>
      </c>
      <c r="K38" s="6" t="s">
        <v>19</v>
      </c>
      <c r="L38" s="10" t="s">
        <v>45</v>
      </c>
      <c r="M38" s="6"/>
    </row>
    <row r="39" spans="1:13" ht="30" customHeight="1">
      <c r="A39" s="6">
        <v>37</v>
      </c>
      <c r="B39" s="9"/>
      <c r="C39" s="6" t="str">
        <f>"方其娟"</f>
        <v>方其娟</v>
      </c>
      <c r="D39" s="6" t="str">
        <f t="shared" si="15"/>
        <v>女</v>
      </c>
      <c r="E39" s="6" t="str">
        <f>"1995-04-14"</f>
        <v>1995-04-14</v>
      </c>
      <c r="F39" s="6" t="s">
        <v>47</v>
      </c>
      <c r="G39" s="6" t="str">
        <f t="shared" si="12"/>
        <v>本科</v>
      </c>
      <c r="H39" s="6" t="str">
        <f t="shared" si="16"/>
        <v>学士</v>
      </c>
      <c r="I39" s="6" t="str">
        <f>"赣南医学院"</f>
        <v>赣南医学院</v>
      </c>
      <c r="J39" s="6" t="str">
        <f t="shared" si="17"/>
        <v>医学影像技术</v>
      </c>
      <c r="K39" s="6" t="s">
        <v>19</v>
      </c>
      <c r="L39" s="10" t="s">
        <v>45</v>
      </c>
      <c r="M39" s="6"/>
    </row>
    <row r="40" spans="1:13" ht="30" customHeight="1">
      <c r="A40" s="6">
        <v>38</v>
      </c>
      <c r="B40" s="8"/>
      <c r="C40" s="6" t="str">
        <f>"卓书雷"</f>
        <v>卓书雷</v>
      </c>
      <c r="D40" s="6" t="str">
        <f aca="true" t="shared" si="18" ref="D40:D45">"男"</f>
        <v>男</v>
      </c>
      <c r="E40" s="6" t="str">
        <f>"1994-08-28"</f>
        <v>1994-08-28</v>
      </c>
      <c r="F40" s="6" t="s">
        <v>49</v>
      </c>
      <c r="G40" s="6" t="str">
        <f t="shared" si="12"/>
        <v>本科</v>
      </c>
      <c r="H40" s="6" t="str">
        <f t="shared" si="16"/>
        <v>学士</v>
      </c>
      <c r="I40" s="6" t="str">
        <f>"北方民族大学"</f>
        <v>北方民族大学</v>
      </c>
      <c r="J40" s="6" t="str">
        <f t="shared" si="17"/>
        <v>医学影像技术</v>
      </c>
      <c r="K40" s="6" t="s">
        <v>19</v>
      </c>
      <c r="L40" s="10" t="s">
        <v>45</v>
      </c>
      <c r="M40" s="6"/>
    </row>
    <row r="41" spans="1:13" ht="30" customHeight="1">
      <c r="A41" s="6">
        <v>39</v>
      </c>
      <c r="B41" s="7" t="s">
        <v>50</v>
      </c>
      <c r="C41" s="6" t="str">
        <f>"郑淞尹"</f>
        <v>郑淞尹</v>
      </c>
      <c r="D41" s="6" t="str">
        <f aca="true" t="shared" si="19" ref="D41:D44">"女"</f>
        <v>女</v>
      </c>
      <c r="E41" s="6" t="str">
        <f>"1994-04-28"</f>
        <v>1994-04-28</v>
      </c>
      <c r="F41" s="6" t="s">
        <v>51</v>
      </c>
      <c r="G41" s="6" t="str">
        <f>"研究生"</f>
        <v>研究生</v>
      </c>
      <c r="H41" s="6" t="str">
        <f>"硕士"</f>
        <v>硕士</v>
      </c>
      <c r="I41" s="6" t="str">
        <f aca="true" t="shared" si="20" ref="I41:I43">"黑龙江中医药大学"</f>
        <v>黑龙江中医药大学</v>
      </c>
      <c r="J41" s="6" t="str">
        <f>"康复医学与理疗学"</f>
        <v>康复医学与理疗学</v>
      </c>
      <c r="K41" s="6" t="s">
        <v>19</v>
      </c>
      <c r="L41" s="10" t="s">
        <v>45</v>
      </c>
      <c r="M41" s="6"/>
    </row>
    <row r="42" spans="1:13" ht="30" customHeight="1">
      <c r="A42" s="6">
        <v>40</v>
      </c>
      <c r="B42" s="9"/>
      <c r="C42" s="6" t="str">
        <f>"朱彬"</f>
        <v>朱彬</v>
      </c>
      <c r="D42" s="6" t="str">
        <f t="shared" si="18"/>
        <v>男</v>
      </c>
      <c r="E42" s="6" t="str">
        <f>"1992-11-16"</f>
        <v>1992-11-16</v>
      </c>
      <c r="F42" s="6" t="s">
        <v>25</v>
      </c>
      <c r="G42" s="6" t="str">
        <f>"研究生"</f>
        <v>研究生</v>
      </c>
      <c r="H42" s="6" t="str">
        <f>"硕士"</f>
        <v>硕士</v>
      </c>
      <c r="I42" s="6" t="str">
        <f t="shared" si="20"/>
        <v>黑龙江中医药大学</v>
      </c>
      <c r="J42" s="6" t="str">
        <f>"中医内科学"</f>
        <v>中医内科学</v>
      </c>
      <c r="K42" s="6" t="s">
        <v>19</v>
      </c>
      <c r="L42" s="10" t="s">
        <v>45</v>
      </c>
      <c r="M42" s="6"/>
    </row>
    <row r="43" spans="1:13" ht="30" customHeight="1">
      <c r="A43" s="6">
        <v>41</v>
      </c>
      <c r="B43" s="9"/>
      <c r="C43" s="6" t="str">
        <f>"肖秀玉"</f>
        <v>肖秀玉</v>
      </c>
      <c r="D43" s="6" t="str">
        <f t="shared" si="19"/>
        <v>女</v>
      </c>
      <c r="E43" s="6" t="str">
        <f>"1992-05-18"</f>
        <v>1992-05-18</v>
      </c>
      <c r="F43" s="6" t="str">
        <f>"海南省海口市"</f>
        <v>海南省海口市</v>
      </c>
      <c r="G43" s="6" t="str">
        <f aca="true" t="shared" si="21" ref="G43:G67">"本科"</f>
        <v>本科</v>
      </c>
      <c r="H43" s="6" t="str">
        <f aca="true" t="shared" si="22" ref="H43:H58">"学士"</f>
        <v>学士</v>
      </c>
      <c r="I43" s="6" t="str">
        <f t="shared" si="20"/>
        <v>黑龙江中医药大学</v>
      </c>
      <c r="J43" s="6" t="str">
        <f aca="true" t="shared" si="23" ref="J43:J47">"康复治疗学"</f>
        <v>康复治疗学</v>
      </c>
      <c r="K43" s="6" t="s">
        <v>19</v>
      </c>
      <c r="L43" s="10" t="s">
        <v>45</v>
      </c>
      <c r="M43" s="6"/>
    </row>
    <row r="44" spans="1:13" ht="30" customHeight="1">
      <c r="A44" s="6">
        <v>42</v>
      </c>
      <c r="B44" s="9"/>
      <c r="C44" s="6" t="str">
        <f>"程小芳"</f>
        <v>程小芳</v>
      </c>
      <c r="D44" s="6" t="str">
        <f t="shared" si="19"/>
        <v>女</v>
      </c>
      <c r="E44" s="6" t="str">
        <f>"1990-04-21"</f>
        <v>1990-04-21</v>
      </c>
      <c r="F44" s="6" t="s">
        <v>33</v>
      </c>
      <c r="G44" s="6" t="str">
        <f t="shared" si="21"/>
        <v>本科</v>
      </c>
      <c r="H44" s="6" t="str">
        <f t="shared" si="22"/>
        <v>学士</v>
      </c>
      <c r="I44" s="6" t="str">
        <f aca="true" t="shared" si="24" ref="I44:I49">"海南医学院"</f>
        <v>海南医学院</v>
      </c>
      <c r="J44" s="6" t="str">
        <f t="shared" si="23"/>
        <v>康复治疗学</v>
      </c>
      <c r="K44" s="6" t="s">
        <v>19</v>
      </c>
      <c r="L44" s="10" t="s">
        <v>45</v>
      </c>
      <c r="M44" s="6"/>
    </row>
    <row r="45" spans="1:13" ht="30" customHeight="1">
      <c r="A45" s="6">
        <v>43</v>
      </c>
      <c r="B45" s="9"/>
      <c r="C45" s="6" t="str">
        <f>"林道远"</f>
        <v>林道远</v>
      </c>
      <c r="D45" s="6" t="str">
        <f t="shared" si="18"/>
        <v>男</v>
      </c>
      <c r="E45" s="6" t="str">
        <f>"1987-08-27"</f>
        <v>1987-08-27</v>
      </c>
      <c r="F45" s="6" t="s">
        <v>34</v>
      </c>
      <c r="G45" s="6" t="str">
        <f t="shared" si="21"/>
        <v>本科</v>
      </c>
      <c r="H45" s="6" t="str">
        <f t="shared" si="22"/>
        <v>学士</v>
      </c>
      <c r="I45" s="6" t="str">
        <f>"长沙医学院"</f>
        <v>长沙医学院</v>
      </c>
      <c r="J45" s="6" t="str">
        <f aca="true" t="shared" si="25" ref="J45:J48">"针灸推拿学"</f>
        <v>针灸推拿学</v>
      </c>
      <c r="K45" s="6" t="s">
        <v>19</v>
      </c>
      <c r="L45" s="10" t="s">
        <v>45</v>
      </c>
      <c r="M45" s="6"/>
    </row>
    <row r="46" spans="1:13" ht="30" customHeight="1">
      <c r="A46" s="6">
        <v>44</v>
      </c>
      <c r="B46" s="9"/>
      <c r="C46" s="6" t="str">
        <f>"李和穆"</f>
        <v>李和穆</v>
      </c>
      <c r="D46" s="6" t="str">
        <f aca="true" t="shared" si="26" ref="D46:D49">"女"</f>
        <v>女</v>
      </c>
      <c r="E46" s="6" t="str">
        <f>"1989-06-24"</f>
        <v>1989-06-24</v>
      </c>
      <c r="F46" s="6" t="s">
        <v>25</v>
      </c>
      <c r="G46" s="6" t="str">
        <f t="shared" si="21"/>
        <v>本科</v>
      </c>
      <c r="H46" s="6" t="str">
        <f t="shared" si="22"/>
        <v>学士</v>
      </c>
      <c r="I46" s="6" t="str">
        <f>"江西中医药大学"</f>
        <v>江西中医药大学</v>
      </c>
      <c r="J46" s="6" t="str">
        <f t="shared" si="25"/>
        <v>针灸推拿学</v>
      </c>
      <c r="K46" s="6" t="s">
        <v>19</v>
      </c>
      <c r="L46" s="10" t="s">
        <v>45</v>
      </c>
      <c r="M46" s="6"/>
    </row>
    <row r="47" spans="1:13" ht="30" customHeight="1">
      <c r="A47" s="6">
        <v>45</v>
      </c>
      <c r="B47" s="9"/>
      <c r="C47" s="6" t="str">
        <f>"唐锡兰"</f>
        <v>唐锡兰</v>
      </c>
      <c r="D47" s="6" t="str">
        <f t="shared" si="26"/>
        <v>女</v>
      </c>
      <c r="E47" s="6" t="str">
        <f>"1994.05"</f>
        <v>1994.05</v>
      </c>
      <c r="F47" s="6" t="s">
        <v>46</v>
      </c>
      <c r="G47" s="6" t="str">
        <f t="shared" si="21"/>
        <v>本科</v>
      </c>
      <c r="H47" s="6" t="str">
        <f t="shared" si="22"/>
        <v>学士</v>
      </c>
      <c r="I47" s="6" t="str">
        <f>"山西中医药大学"</f>
        <v>山西中医药大学</v>
      </c>
      <c r="J47" s="6" t="str">
        <f t="shared" si="23"/>
        <v>康复治疗学</v>
      </c>
      <c r="K47" s="6" t="s">
        <v>19</v>
      </c>
      <c r="L47" s="10" t="s">
        <v>45</v>
      </c>
      <c r="M47" s="6"/>
    </row>
    <row r="48" spans="1:13" ht="30" customHeight="1">
      <c r="A48" s="6">
        <v>46</v>
      </c>
      <c r="B48" s="9"/>
      <c r="C48" s="6" t="str">
        <f>"林丽萍"</f>
        <v>林丽萍</v>
      </c>
      <c r="D48" s="6" t="str">
        <f t="shared" si="26"/>
        <v>女</v>
      </c>
      <c r="E48" s="6" t="str">
        <f>"1990-08-20"</f>
        <v>1990-08-20</v>
      </c>
      <c r="F48" s="6" t="s">
        <v>25</v>
      </c>
      <c r="G48" s="6" t="str">
        <f t="shared" si="21"/>
        <v>本科</v>
      </c>
      <c r="H48" s="6" t="str">
        <f t="shared" si="22"/>
        <v>学士</v>
      </c>
      <c r="I48" s="6" t="str">
        <f t="shared" si="24"/>
        <v>海南医学院</v>
      </c>
      <c r="J48" s="6" t="str">
        <f t="shared" si="25"/>
        <v>针灸推拿学</v>
      </c>
      <c r="K48" s="6" t="s">
        <v>19</v>
      </c>
      <c r="L48" s="10" t="s">
        <v>45</v>
      </c>
      <c r="M48" s="6"/>
    </row>
    <row r="49" spans="1:13" ht="30" customHeight="1">
      <c r="A49" s="6">
        <v>47</v>
      </c>
      <c r="B49" s="9"/>
      <c r="C49" s="6" t="str">
        <f>"刘元萍"</f>
        <v>刘元萍</v>
      </c>
      <c r="D49" s="6" t="str">
        <f t="shared" si="26"/>
        <v>女</v>
      </c>
      <c r="E49" s="6" t="str">
        <f>"1992-09-26"</f>
        <v>1992-09-26</v>
      </c>
      <c r="F49" s="6" t="str">
        <f>"海南省儋州市"</f>
        <v>海南省儋州市</v>
      </c>
      <c r="G49" s="6" t="str">
        <f t="shared" si="21"/>
        <v>本科</v>
      </c>
      <c r="H49" s="6" t="str">
        <f t="shared" si="22"/>
        <v>学士</v>
      </c>
      <c r="I49" s="6" t="str">
        <f t="shared" si="24"/>
        <v>海南医学院</v>
      </c>
      <c r="J49" s="6" t="str">
        <f>"中医学"</f>
        <v>中医学</v>
      </c>
      <c r="K49" s="6" t="s">
        <v>19</v>
      </c>
      <c r="L49" s="10" t="s">
        <v>45</v>
      </c>
      <c r="M49" s="6"/>
    </row>
    <row r="50" spans="1:13" ht="30" customHeight="1">
      <c r="A50" s="6">
        <v>48</v>
      </c>
      <c r="B50" s="9"/>
      <c r="C50" s="6" t="str">
        <f>"赵泽来"</f>
        <v>赵泽来</v>
      </c>
      <c r="D50" s="6" t="str">
        <f aca="true" t="shared" si="27" ref="D50:D53">"男"</f>
        <v>男</v>
      </c>
      <c r="E50" s="6" t="str">
        <f>"1992-03-05"</f>
        <v>1992-03-05</v>
      </c>
      <c r="F50" s="6" t="s">
        <v>24</v>
      </c>
      <c r="G50" s="6" t="str">
        <f t="shared" si="21"/>
        <v>本科</v>
      </c>
      <c r="H50" s="6" t="str">
        <f t="shared" si="22"/>
        <v>学士</v>
      </c>
      <c r="I50" s="6" t="str">
        <f>"黑龙江省中医药大学"</f>
        <v>黑龙江省中医药大学</v>
      </c>
      <c r="J50" s="6" t="str">
        <f>"康复治疗学"</f>
        <v>康复治疗学</v>
      </c>
      <c r="K50" s="6" t="s">
        <v>19</v>
      </c>
      <c r="L50" s="10" t="s">
        <v>45</v>
      </c>
      <c r="M50" s="6"/>
    </row>
    <row r="51" spans="1:13" ht="30" customHeight="1">
      <c r="A51" s="6">
        <v>49</v>
      </c>
      <c r="B51" s="8"/>
      <c r="C51" s="6" t="str">
        <f>"陈丽"</f>
        <v>陈丽</v>
      </c>
      <c r="D51" s="6" t="str">
        <f aca="true" t="shared" si="28" ref="D51:D55">"女"</f>
        <v>女</v>
      </c>
      <c r="E51" s="6" t="str">
        <f>"1995-06-24"</f>
        <v>1995-06-24</v>
      </c>
      <c r="F51" s="6" t="s">
        <v>49</v>
      </c>
      <c r="G51" s="6" t="str">
        <f t="shared" si="21"/>
        <v>本科</v>
      </c>
      <c r="H51" s="6" t="str">
        <f t="shared" si="22"/>
        <v>学士</v>
      </c>
      <c r="I51" s="6" t="str">
        <f>"广西中医药大学"</f>
        <v>广西中医药大学</v>
      </c>
      <c r="J51" s="6" t="str">
        <f>"康复治疗学"</f>
        <v>康复治疗学</v>
      </c>
      <c r="K51" s="6" t="s">
        <v>19</v>
      </c>
      <c r="L51" s="10" t="s">
        <v>45</v>
      </c>
      <c r="M51" s="6"/>
    </row>
    <row r="52" spans="1:13" ht="30" customHeight="1">
      <c r="A52" s="6">
        <v>50</v>
      </c>
      <c r="B52" s="7" t="s">
        <v>52</v>
      </c>
      <c r="C52" s="6" t="str">
        <f>"文子山"</f>
        <v>文子山</v>
      </c>
      <c r="D52" s="6" t="str">
        <f t="shared" si="27"/>
        <v>男</v>
      </c>
      <c r="E52" s="6" t="str">
        <f>"1992-07-07"</f>
        <v>1992-07-07</v>
      </c>
      <c r="F52" s="6" t="s">
        <v>49</v>
      </c>
      <c r="G52" s="6" t="str">
        <f t="shared" si="21"/>
        <v>本科</v>
      </c>
      <c r="H52" s="6" t="str">
        <f t="shared" si="22"/>
        <v>学士</v>
      </c>
      <c r="I52" s="6" t="str">
        <f>"石河子大学"</f>
        <v>石河子大学</v>
      </c>
      <c r="J52" s="6" t="str">
        <f aca="true" t="shared" si="29" ref="J52:J58">"医学检验"</f>
        <v>医学检验</v>
      </c>
      <c r="K52" s="6" t="s">
        <v>19</v>
      </c>
      <c r="L52" s="10" t="s">
        <v>45</v>
      </c>
      <c r="M52" s="6"/>
    </row>
    <row r="53" spans="1:13" ht="30" customHeight="1">
      <c r="A53" s="6">
        <v>51</v>
      </c>
      <c r="B53" s="9"/>
      <c r="C53" s="6" t="str">
        <f>"吴育忠"</f>
        <v>吴育忠</v>
      </c>
      <c r="D53" s="6" t="str">
        <f t="shared" si="27"/>
        <v>男</v>
      </c>
      <c r="E53" s="6" t="str">
        <f>"1992-08-17"</f>
        <v>1992-08-17</v>
      </c>
      <c r="F53" s="6" t="s">
        <v>25</v>
      </c>
      <c r="G53" s="6" t="str">
        <f t="shared" si="21"/>
        <v>本科</v>
      </c>
      <c r="H53" s="6" t="str">
        <f t="shared" si="22"/>
        <v>学士</v>
      </c>
      <c r="I53" s="6" t="str">
        <f>"南华大学"</f>
        <v>南华大学</v>
      </c>
      <c r="J53" s="6" t="str">
        <f t="shared" si="29"/>
        <v>医学检验</v>
      </c>
      <c r="K53" s="6" t="s">
        <v>19</v>
      </c>
      <c r="L53" s="10" t="s">
        <v>45</v>
      </c>
      <c r="M53" s="6"/>
    </row>
    <row r="54" spans="1:13" ht="30" customHeight="1">
      <c r="A54" s="6">
        <v>52</v>
      </c>
      <c r="B54" s="9"/>
      <c r="C54" s="6" t="str">
        <f>"王广静"</f>
        <v>王广静</v>
      </c>
      <c r="D54" s="6" t="str">
        <f t="shared" si="28"/>
        <v>女</v>
      </c>
      <c r="E54" s="6" t="str">
        <f>"1989-05-03"</f>
        <v>1989-05-03</v>
      </c>
      <c r="F54" s="6" t="s">
        <v>53</v>
      </c>
      <c r="G54" s="6" t="str">
        <f t="shared" si="21"/>
        <v>本科</v>
      </c>
      <c r="H54" s="6" t="str">
        <f t="shared" si="22"/>
        <v>学士</v>
      </c>
      <c r="I54" s="6" t="str">
        <f>"河南科技大学"</f>
        <v>河南科技大学</v>
      </c>
      <c r="J54" s="6" t="str">
        <f t="shared" si="29"/>
        <v>医学检验</v>
      </c>
      <c r="K54" s="6" t="s">
        <v>15</v>
      </c>
      <c r="L54" s="10" t="s">
        <v>45</v>
      </c>
      <c r="M54" s="6"/>
    </row>
    <row r="55" spans="1:13" ht="30" customHeight="1">
      <c r="A55" s="6">
        <v>53</v>
      </c>
      <c r="B55" s="9"/>
      <c r="C55" s="6" t="str">
        <f>"梁小燕"</f>
        <v>梁小燕</v>
      </c>
      <c r="D55" s="6" t="str">
        <f t="shared" si="28"/>
        <v>女</v>
      </c>
      <c r="E55" s="6" t="str">
        <f>"1994-09"</f>
        <v>1994-09</v>
      </c>
      <c r="F55" s="6" t="str">
        <f>"广东省雷州市"</f>
        <v>广东省雷州市</v>
      </c>
      <c r="G55" s="6" t="str">
        <f t="shared" si="21"/>
        <v>本科</v>
      </c>
      <c r="H55" s="6" t="str">
        <f t="shared" si="22"/>
        <v>学士</v>
      </c>
      <c r="I55" s="6" t="str">
        <f>"南华大学医学院"</f>
        <v>南华大学医学院</v>
      </c>
      <c r="J55" s="6" t="str">
        <f t="shared" si="29"/>
        <v>医学检验</v>
      </c>
      <c r="K55" s="6" t="s">
        <v>19</v>
      </c>
      <c r="L55" s="10" t="s">
        <v>45</v>
      </c>
      <c r="M55" s="6"/>
    </row>
    <row r="56" spans="1:13" ht="30" customHeight="1">
      <c r="A56" s="6">
        <v>54</v>
      </c>
      <c r="B56" s="9"/>
      <c r="C56" s="6" t="str">
        <f>"王文业"</f>
        <v>王文业</v>
      </c>
      <c r="D56" s="6" t="str">
        <f aca="true" t="shared" si="30" ref="D56:D61">"男"</f>
        <v>男</v>
      </c>
      <c r="E56" s="6" t="str">
        <f>"1992-05-07"</f>
        <v>1992-05-07</v>
      </c>
      <c r="F56" s="6" t="s">
        <v>25</v>
      </c>
      <c r="G56" s="6" t="str">
        <f t="shared" si="21"/>
        <v>本科</v>
      </c>
      <c r="H56" s="6" t="str">
        <f t="shared" si="22"/>
        <v>学士</v>
      </c>
      <c r="I56" s="6" t="str">
        <f>"遵义医学院"</f>
        <v>遵义医学院</v>
      </c>
      <c r="J56" s="6" t="str">
        <f t="shared" si="29"/>
        <v>医学检验</v>
      </c>
      <c r="K56" s="6" t="s">
        <v>19</v>
      </c>
      <c r="L56" s="10" t="s">
        <v>45</v>
      </c>
      <c r="M56" s="6"/>
    </row>
    <row r="57" spans="1:13" ht="30" customHeight="1">
      <c r="A57" s="6">
        <v>55</v>
      </c>
      <c r="B57" s="9"/>
      <c r="C57" s="6" t="str">
        <f>"黄佳敏"</f>
        <v>黄佳敏</v>
      </c>
      <c r="D57" s="6" t="str">
        <f aca="true" t="shared" si="31" ref="D57:D60">"女"</f>
        <v>女</v>
      </c>
      <c r="E57" s="6" t="str">
        <f>"1994-09-23"</f>
        <v>1994-09-23</v>
      </c>
      <c r="F57" s="6" t="s">
        <v>54</v>
      </c>
      <c r="G57" s="6" t="str">
        <f t="shared" si="21"/>
        <v>本科</v>
      </c>
      <c r="H57" s="6" t="str">
        <f t="shared" si="22"/>
        <v>学士</v>
      </c>
      <c r="I57" s="6" t="str">
        <f>"河北北方学院"</f>
        <v>河北北方学院</v>
      </c>
      <c r="J57" s="6" t="str">
        <f t="shared" si="29"/>
        <v>医学检验</v>
      </c>
      <c r="K57" s="6" t="s">
        <v>19</v>
      </c>
      <c r="L57" s="10" t="s">
        <v>45</v>
      </c>
      <c r="M57" s="6"/>
    </row>
    <row r="58" spans="1:13" ht="30" customHeight="1">
      <c r="A58" s="6">
        <v>56</v>
      </c>
      <c r="B58" s="9"/>
      <c r="C58" s="6" t="str">
        <f>"黄小惠"</f>
        <v>黄小惠</v>
      </c>
      <c r="D58" s="6" t="str">
        <f t="shared" si="31"/>
        <v>女</v>
      </c>
      <c r="E58" s="6" t="str">
        <f>"1990-10-15"</f>
        <v>1990-10-15</v>
      </c>
      <c r="F58" s="6" t="str">
        <f>"海南省海口市"</f>
        <v>海南省海口市</v>
      </c>
      <c r="G58" s="6" t="str">
        <f t="shared" si="21"/>
        <v>本科</v>
      </c>
      <c r="H58" s="6" t="str">
        <f t="shared" si="22"/>
        <v>学士</v>
      </c>
      <c r="I58" s="6" t="str">
        <f>"海南医学院"</f>
        <v>海南医学院</v>
      </c>
      <c r="J58" s="6" t="str">
        <f t="shared" si="29"/>
        <v>医学检验</v>
      </c>
      <c r="K58" s="6" t="s">
        <v>19</v>
      </c>
      <c r="L58" s="10" t="s">
        <v>45</v>
      </c>
      <c r="M58" s="6"/>
    </row>
    <row r="59" spans="1:13" ht="30" customHeight="1">
      <c r="A59" s="6">
        <v>57</v>
      </c>
      <c r="B59" s="9"/>
      <c r="C59" s="6" t="str">
        <f>"张富城"</f>
        <v>张富城</v>
      </c>
      <c r="D59" s="6" t="str">
        <f t="shared" si="30"/>
        <v>男</v>
      </c>
      <c r="E59" s="6" t="str">
        <f>"1991-09-19"</f>
        <v>1991-09-19</v>
      </c>
      <c r="F59" s="6" t="s">
        <v>39</v>
      </c>
      <c r="G59" s="6" t="str">
        <f t="shared" si="21"/>
        <v>本科</v>
      </c>
      <c r="H59" s="6" t="str">
        <f>"无"</f>
        <v>无</v>
      </c>
      <c r="I59" s="6" t="str">
        <f>"海南医学院"</f>
        <v>海南医学院</v>
      </c>
      <c r="J59" s="6" t="str">
        <f>"医学检验本科五年制"</f>
        <v>医学检验本科五年制</v>
      </c>
      <c r="K59" s="6" t="s">
        <v>19</v>
      </c>
      <c r="L59" s="10" t="s">
        <v>45</v>
      </c>
      <c r="M59" s="6"/>
    </row>
    <row r="60" spans="1:13" ht="30" customHeight="1">
      <c r="A60" s="6">
        <v>58</v>
      </c>
      <c r="B60" s="9"/>
      <c r="C60" s="6" t="str">
        <f>"吴秋香"</f>
        <v>吴秋香</v>
      </c>
      <c r="D60" s="6" t="str">
        <f t="shared" si="31"/>
        <v>女</v>
      </c>
      <c r="E60" s="6" t="str">
        <f>"1991-08-10"</f>
        <v>1991-08-10</v>
      </c>
      <c r="F60" s="6" t="s">
        <v>25</v>
      </c>
      <c r="G60" s="6" t="str">
        <f t="shared" si="21"/>
        <v>本科</v>
      </c>
      <c r="H60" s="6" t="str">
        <f aca="true" t="shared" si="32" ref="H60:H67">"学士"</f>
        <v>学士</v>
      </c>
      <c r="I60" s="6" t="str">
        <f>"河南科技大学"</f>
        <v>河南科技大学</v>
      </c>
      <c r="J60" s="6" t="str">
        <f aca="true" t="shared" si="33" ref="J60:J64">"医学检验"</f>
        <v>医学检验</v>
      </c>
      <c r="K60" s="6" t="s">
        <v>19</v>
      </c>
      <c r="L60" s="10" t="s">
        <v>45</v>
      </c>
      <c r="M60" s="6"/>
    </row>
    <row r="61" spans="1:13" ht="30" customHeight="1">
      <c r="A61" s="6">
        <v>59</v>
      </c>
      <c r="B61" s="9"/>
      <c r="C61" s="6" t="str">
        <f>"王淇芝"</f>
        <v>王淇芝</v>
      </c>
      <c r="D61" s="6" t="str">
        <f t="shared" si="30"/>
        <v>男</v>
      </c>
      <c r="E61" s="6" t="str">
        <f>"1993-04-09"</f>
        <v>1993-04-09</v>
      </c>
      <c r="F61" s="6" t="str">
        <f>"广东省梅县"</f>
        <v>广东省梅县</v>
      </c>
      <c r="G61" s="6" t="str">
        <f t="shared" si="21"/>
        <v>本科</v>
      </c>
      <c r="H61" s="6" t="str">
        <f t="shared" si="32"/>
        <v>学士</v>
      </c>
      <c r="I61" s="6" t="str">
        <f>"石河子大学"</f>
        <v>石河子大学</v>
      </c>
      <c r="J61" s="6" t="str">
        <f t="shared" si="33"/>
        <v>医学检验</v>
      </c>
      <c r="K61" s="6" t="s">
        <v>19</v>
      </c>
      <c r="L61" s="10" t="s">
        <v>45</v>
      </c>
      <c r="M61" s="6"/>
    </row>
    <row r="62" spans="1:13" ht="30" customHeight="1">
      <c r="A62" s="6">
        <v>60</v>
      </c>
      <c r="B62" s="9"/>
      <c r="C62" s="6" t="str">
        <f>"李阳丹"</f>
        <v>李阳丹</v>
      </c>
      <c r="D62" s="6" t="str">
        <f aca="true" t="shared" si="34" ref="D62:D88">"女"</f>
        <v>女</v>
      </c>
      <c r="E62" s="6" t="str">
        <f>"1993-06-01"</f>
        <v>1993-06-01</v>
      </c>
      <c r="F62" s="6" t="s">
        <v>28</v>
      </c>
      <c r="G62" s="6" t="str">
        <f t="shared" si="21"/>
        <v>本科</v>
      </c>
      <c r="H62" s="6" t="str">
        <f t="shared" si="32"/>
        <v>学士</v>
      </c>
      <c r="I62" s="6" t="str">
        <f>"华北理工大学"</f>
        <v>华北理工大学</v>
      </c>
      <c r="J62" s="6" t="str">
        <f t="shared" si="33"/>
        <v>医学检验</v>
      </c>
      <c r="K62" s="6" t="s">
        <v>19</v>
      </c>
      <c r="L62" s="10" t="s">
        <v>45</v>
      </c>
      <c r="M62" s="6"/>
    </row>
    <row r="63" spans="1:13" ht="30" customHeight="1">
      <c r="A63" s="6">
        <v>61</v>
      </c>
      <c r="B63" s="9"/>
      <c r="C63" s="6" t="str">
        <f>"林雅娴"</f>
        <v>林雅娴</v>
      </c>
      <c r="D63" s="6" t="str">
        <f t="shared" si="34"/>
        <v>女</v>
      </c>
      <c r="E63" s="6" t="str">
        <f>"1994-08-30"</f>
        <v>1994-08-30</v>
      </c>
      <c r="F63" s="6" t="s">
        <v>46</v>
      </c>
      <c r="G63" s="6" t="str">
        <f t="shared" si="21"/>
        <v>本科</v>
      </c>
      <c r="H63" s="6" t="str">
        <f t="shared" si="32"/>
        <v>学士</v>
      </c>
      <c r="I63" s="6" t="str">
        <f>"哈尔滨医科大学"</f>
        <v>哈尔滨医科大学</v>
      </c>
      <c r="J63" s="6" t="str">
        <f t="shared" si="33"/>
        <v>医学检验</v>
      </c>
      <c r="K63" s="6" t="s">
        <v>19</v>
      </c>
      <c r="L63" s="10" t="s">
        <v>45</v>
      </c>
      <c r="M63" s="6"/>
    </row>
    <row r="64" spans="1:13" ht="30" customHeight="1">
      <c r="A64" s="6">
        <v>62</v>
      </c>
      <c r="B64" s="9"/>
      <c r="C64" s="6" t="str">
        <f>"司玉双"</f>
        <v>司玉双</v>
      </c>
      <c r="D64" s="6" t="str">
        <f t="shared" si="34"/>
        <v>女</v>
      </c>
      <c r="E64" s="6" t="str">
        <f>"1992-01-17"</f>
        <v>1992-01-17</v>
      </c>
      <c r="F64" s="6" t="s">
        <v>55</v>
      </c>
      <c r="G64" s="6" t="str">
        <f t="shared" si="21"/>
        <v>本科</v>
      </c>
      <c r="H64" s="6" t="str">
        <f t="shared" si="32"/>
        <v>学士</v>
      </c>
      <c r="I64" s="6" t="str">
        <f>"石河子大学"</f>
        <v>石河子大学</v>
      </c>
      <c r="J64" s="6" t="str">
        <f t="shared" si="33"/>
        <v>医学检验</v>
      </c>
      <c r="K64" s="6" t="s">
        <v>19</v>
      </c>
      <c r="L64" s="10" t="s">
        <v>45</v>
      </c>
      <c r="M64" s="6"/>
    </row>
    <row r="65" spans="1:13" ht="30" customHeight="1">
      <c r="A65" s="6">
        <v>63</v>
      </c>
      <c r="B65" s="9"/>
      <c r="C65" s="6" t="str">
        <f>"黄丹丹"</f>
        <v>黄丹丹</v>
      </c>
      <c r="D65" s="6" t="str">
        <f t="shared" si="34"/>
        <v>女</v>
      </c>
      <c r="E65" s="6" t="str">
        <f>"1993-07-12"</f>
        <v>1993-07-12</v>
      </c>
      <c r="F65" s="6" t="str">
        <f>"海南省乐东县"</f>
        <v>海南省乐东县</v>
      </c>
      <c r="G65" s="6" t="str">
        <f t="shared" si="21"/>
        <v>本科</v>
      </c>
      <c r="H65" s="6" t="str">
        <f t="shared" si="32"/>
        <v>学士</v>
      </c>
      <c r="I65" s="6" t="str">
        <f>"山西医科大学"</f>
        <v>山西医科大学</v>
      </c>
      <c r="J65" s="6" t="str">
        <f>"医学检验（五年制）"</f>
        <v>医学检验（五年制）</v>
      </c>
      <c r="K65" s="6" t="s">
        <v>19</v>
      </c>
      <c r="L65" s="10" t="s">
        <v>45</v>
      </c>
      <c r="M65" s="6"/>
    </row>
    <row r="66" spans="1:13" ht="30" customHeight="1">
      <c r="A66" s="6">
        <v>64</v>
      </c>
      <c r="B66" s="9"/>
      <c r="C66" s="6" t="str">
        <f>"陈春婉"</f>
        <v>陈春婉</v>
      </c>
      <c r="D66" s="6" t="str">
        <f t="shared" si="34"/>
        <v>女</v>
      </c>
      <c r="E66" s="6" t="str">
        <f>"1992-05"</f>
        <v>1992-05</v>
      </c>
      <c r="F66" s="6" t="s">
        <v>18</v>
      </c>
      <c r="G66" s="6" t="str">
        <f t="shared" si="21"/>
        <v>本科</v>
      </c>
      <c r="H66" s="6" t="str">
        <f t="shared" si="32"/>
        <v>学士</v>
      </c>
      <c r="I66" s="6" t="str">
        <f>"兰州大学"</f>
        <v>兰州大学</v>
      </c>
      <c r="J66" s="6" t="str">
        <f>"医学检验"</f>
        <v>医学检验</v>
      </c>
      <c r="K66" s="6" t="s">
        <v>19</v>
      </c>
      <c r="L66" s="10" t="s">
        <v>45</v>
      </c>
      <c r="M66" s="6"/>
    </row>
    <row r="67" spans="1:13" ht="30" customHeight="1">
      <c r="A67" s="6">
        <v>65</v>
      </c>
      <c r="B67" s="8"/>
      <c r="C67" s="6" t="str">
        <f>"毕岚宇"</f>
        <v>毕岚宇</v>
      </c>
      <c r="D67" s="6" t="str">
        <f t="shared" si="34"/>
        <v>女</v>
      </c>
      <c r="E67" s="6" t="str">
        <f>"1994-04-07"</f>
        <v>1994-04-07</v>
      </c>
      <c r="F67" s="6" t="str">
        <f>"吉林省镇赉县"</f>
        <v>吉林省镇赉县</v>
      </c>
      <c r="G67" s="6" t="str">
        <f t="shared" si="21"/>
        <v>本科</v>
      </c>
      <c r="H67" s="6" t="str">
        <f t="shared" si="32"/>
        <v>学士</v>
      </c>
      <c r="I67" s="6" t="str">
        <f>"内蒙古民族大学"</f>
        <v>内蒙古民族大学</v>
      </c>
      <c r="J67" s="6" t="str">
        <f>"医学检验"</f>
        <v>医学检验</v>
      </c>
      <c r="K67" s="6" t="s">
        <v>19</v>
      </c>
      <c r="L67" s="10" t="s">
        <v>45</v>
      </c>
      <c r="M67" s="6"/>
    </row>
    <row r="68" spans="1:13" ht="30" customHeight="1">
      <c r="A68" s="6">
        <v>66</v>
      </c>
      <c r="B68" s="7" t="s">
        <v>56</v>
      </c>
      <c r="C68" s="6" t="str">
        <f>"周倩"</f>
        <v>周倩</v>
      </c>
      <c r="D68" s="6" t="str">
        <f t="shared" si="34"/>
        <v>女</v>
      </c>
      <c r="E68" s="6" t="str">
        <f>"1992-06-04"</f>
        <v>1992-06-04</v>
      </c>
      <c r="F68" s="6" t="s">
        <v>57</v>
      </c>
      <c r="G68" s="6" t="str">
        <f>"研究生"</f>
        <v>研究生</v>
      </c>
      <c r="H68" s="6" t="str">
        <f>"硕士"</f>
        <v>硕士</v>
      </c>
      <c r="I68" s="6" t="str">
        <f>"湖南师范大学"</f>
        <v>湖南师范大学</v>
      </c>
      <c r="J68" s="6" t="str">
        <f>"内科学"</f>
        <v>内科学</v>
      </c>
      <c r="K68" s="6" t="s">
        <v>19</v>
      </c>
      <c r="L68" s="6" t="s">
        <v>16</v>
      </c>
      <c r="M68" s="6"/>
    </row>
    <row r="69" spans="1:13" ht="30" customHeight="1">
      <c r="A69" s="6">
        <v>67</v>
      </c>
      <c r="B69" s="9"/>
      <c r="C69" s="6" t="str">
        <f>"陈思君"</f>
        <v>陈思君</v>
      </c>
      <c r="D69" s="6" t="str">
        <f t="shared" si="34"/>
        <v>女</v>
      </c>
      <c r="E69" s="6" t="str">
        <f>"1994-08-29"</f>
        <v>1994-08-29</v>
      </c>
      <c r="F69" s="6" t="s">
        <v>25</v>
      </c>
      <c r="G69" s="6" t="str">
        <f aca="true" t="shared" si="35" ref="G69:G132">"本科"</f>
        <v>本科</v>
      </c>
      <c r="H69" s="6" t="str">
        <f aca="true" t="shared" si="36" ref="H69:H91">"学士"</f>
        <v>学士</v>
      </c>
      <c r="I69" s="6" t="str">
        <f>"成都中医药大学"</f>
        <v>成都中医药大学</v>
      </c>
      <c r="J69" s="6" t="str">
        <f aca="true" t="shared" si="37" ref="J69:J71">"中西医临床医学"</f>
        <v>中西医临床医学</v>
      </c>
      <c r="K69" s="6" t="s">
        <v>19</v>
      </c>
      <c r="L69" s="6" t="s">
        <v>16</v>
      </c>
      <c r="M69" s="6"/>
    </row>
    <row r="70" spans="1:13" ht="30" customHeight="1">
      <c r="A70" s="6">
        <v>68</v>
      </c>
      <c r="B70" s="9"/>
      <c r="C70" s="6" t="str">
        <f>"云蕾"</f>
        <v>云蕾</v>
      </c>
      <c r="D70" s="6" t="str">
        <f t="shared" si="34"/>
        <v>女</v>
      </c>
      <c r="E70" s="6" t="str">
        <f>"1993-10-24"</f>
        <v>1993-10-24</v>
      </c>
      <c r="F70" s="6" t="s">
        <v>34</v>
      </c>
      <c r="G70" s="6" t="str">
        <f t="shared" si="35"/>
        <v>本科</v>
      </c>
      <c r="H70" s="6" t="str">
        <f t="shared" si="36"/>
        <v>学士</v>
      </c>
      <c r="I70" s="6" t="str">
        <f>"河北北方学院"</f>
        <v>河北北方学院</v>
      </c>
      <c r="J70" s="6" t="str">
        <f t="shared" si="37"/>
        <v>中西医临床医学</v>
      </c>
      <c r="K70" s="6" t="s">
        <v>19</v>
      </c>
      <c r="L70" s="6" t="s">
        <v>16</v>
      </c>
      <c r="M70" s="6"/>
    </row>
    <row r="71" spans="1:13" ht="30" customHeight="1">
      <c r="A71" s="6">
        <v>69</v>
      </c>
      <c r="B71" s="9"/>
      <c r="C71" s="6" t="str">
        <f>"吴永浪"</f>
        <v>吴永浪</v>
      </c>
      <c r="D71" s="6" t="str">
        <f t="shared" si="34"/>
        <v>女</v>
      </c>
      <c r="E71" s="6" t="str">
        <f>"1993-04-06"</f>
        <v>1993-04-06</v>
      </c>
      <c r="F71" s="6" t="s">
        <v>25</v>
      </c>
      <c r="G71" s="6" t="str">
        <f t="shared" si="35"/>
        <v>本科</v>
      </c>
      <c r="H71" s="6" t="str">
        <f t="shared" si="36"/>
        <v>学士</v>
      </c>
      <c r="I71" s="6" t="str">
        <f>"河北北方学院"</f>
        <v>河北北方学院</v>
      </c>
      <c r="J71" s="6" t="str">
        <f t="shared" si="37"/>
        <v>中西医临床医学</v>
      </c>
      <c r="K71" s="6" t="s">
        <v>19</v>
      </c>
      <c r="L71" s="6" t="s">
        <v>16</v>
      </c>
      <c r="M71" s="6"/>
    </row>
    <row r="72" spans="1:13" ht="30" customHeight="1">
      <c r="A72" s="6">
        <v>70</v>
      </c>
      <c r="B72" s="9"/>
      <c r="C72" s="6" t="str">
        <f>"王小萍"</f>
        <v>王小萍</v>
      </c>
      <c r="D72" s="6" t="str">
        <f t="shared" si="34"/>
        <v>女</v>
      </c>
      <c r="E72" s="6" t="str">
        <f>"1990-09-06"</f>
        <v>1990-09-06</v>
      </c>
      <c r="F72" s="6" t="s">
        <v>25</v>
      </c>
      <c r="G72" s="6" t="str">
        <f t="shared" si="35"/>
        <v>本科</v>
      </c>
      <c r="H72" s="6" t="str">
        <f t="shared" si="36"/>
        <v>学士</v>
      </c>
      <c r="I72" s="6" t="str">
        <f>"海南医学院"</f>
        <v>海南医学院</v>
      </c>
      <c r="J72" s="6" t="str">
        <f aca="true" t="shared" si="38" ref="J72:J75">"临床医学"</f>
        <v>临床医学</v>
      </c>
      <c r="K72" s="6" t="str">
        <f>"中级"</f>
        <v>中级</v>
      </c>
      <c r="L72" s="6" t="s">
        <v>16</v>
      </c>
      <c r="M72" s="6"/>
    </row>
    <row r="73" spans="1:13" ht="30" customHeight="1">
      <c r="A73" s="6">
        <v>71</v>
      </c>
      <c r="B73" s="9"/>
      <c r="C73" s="6" t="str">
        <f>"朱丹"</f>
        <v>朱丹</v>
      </c>
      <c r="D73" s="6" t="str">
        <f t="shared" si="34"/>
        <v>女</v>
      </c>
      <c r="E73" s="6" t="str">
        <f>"1986-07-07"</f>
        <v>1986-07-07</v>
      </c>
      <c r="F73" s="6" t="str">
        <f>"甘肃省兰州市"</f>
        <v>甘肃省兰州市</v>
      </c>
      <c r="G73" s="6" t="str">
        <f t="shared" si="35"/>
        <v>本科</v>
      </c>
      <c r="H73" s="6" t="str">
        <f t="shared" si="36"/>
        <v>学士</v>
      </c>
      <c r="I73" s="6" t="str">
        <f>"大连大学"</f>
        <v>大连大学</v>
      </c>
      <c r="J73" s="6" t="str">
        <f t="shared" si="38"/>
        <v>临床医学</v>
      </c>
      <c r="K73" s="6" t="str">
        <f>"中级"</f>
        <v>中级</v>
      </c>
      <c r="L73" s="11" t="s">
        <v>58</v>
      </c>
      <c r="M73" s="11"/>
    </row>
    <row r="74" spans="1:13" ht="30" customHeight="1">
      <c r="A74" s="6">
        <v>72</v>
      </c>
      <c r="B74" s="8"/>
      <c r="C74" s="6" t="str">
        <f>"李政辉"</f>
        <v>李政辉</v>
      </c>
      <c r="D74" s="6" t="str">
        <f t="shared" si="34"/>
        <v>女</v>
      </c>
      <c r="E74" s="6" t="str">
        <f>"1992-10-01"</f>
        <v>1992-10-01</v>
      </c>
      <c r="F74" s="6" t="s">
        <v>59</v>
      </c>
      <c r="G74" s="6" t="str">
        <f t="shared" si="35"/>
        <v>本科</v>
      </c>
      <c r="H74" s="6" t="str">
        <f t="shared" si="36"/>
        <v>学士</v>
      </c>
      <c r="I74" s="6" t="str">
        <f>"湘南学院"</f>
        <v>湘南学院</v>
      </c>
      <c r="J74" s="6" t="str">
        <f t="shared" si="38"/>
        <v>临床医学</v>
      </c>
      <c r="K74" s="6" t="s">
        <v>19</v>
      </c>
      <c r="L74" s="6" t="s">
        <v>16</v>
      </c>
      <c r="M74" s="6"/>
    </row>
    <row r="75" spans="1:13" ht="30" customHeight="1">
      <c r="A75" s="6">
        <v>73</v>
      </c>
      <c r="B75" s="6" t="s">
        <v>60</v>
      </c>
      <c r="C75" s="6" t="str">
        <f>"林珏"</f>
        <v>林珏</v>
      </c>
      <c r="D75" s="6" t="str">
        <f t="shared" si="34"/>
        <v>女</v>
      </c>
      <c r="E75" s="6" t="str">
        <f>"1991-05-20"</f>
        <v>1991-05-20</v>
      </c>
      <c r="F75" s="6" t="str">
        <f>"海南省澄迈县"</f>
        <v>海南省澄迈县</v>
      </c>
      <c r="G75" s="6" t="str">
        <f t="shared" si="35"/>
        <v>本科</v>
      </c>
      <c r="H75" s="6" t="str">
        <f t="shared" si="36"/>
        <v>学士</v>
      </c>
      <c r="I75" s="6" t="str">
        <f>"南华大学"</f>
        <v>南华大学</v>
      </c>
      <c r="J75" s="6" t="str">
        <f t="shared" si="38"/>
        <v>临床医学</v>
      </c>
      <c r="K75" s="6" t="str">
        <f aca="true" t="shared" si="39" ref="K75:K77">"初级"</f>
        <v>初级</v>
      </c>
      <c r="L75" s="6" t="s">
        <v>16</v>
      </c>
      <c r="M75" s="6"/>
    </row>
    <row r="76" spans="1:13" ht="30" customHeight="1">
      <c r="A76" s="6">
        <v>74</v>
      </c>
      <c r="B76" s="7" t="s">
        <v>61</v>
      </c>
      <c r="C76" s="6" t="str">
        <f>"符江莲"</f>
        <v>符江莲</v>
      </c>
      <c r="D76" s="6" t="str">
        <f t="shared" si="34"/>
        <v>女</v>
      </c>
      <c r="E76" s="6" t="str">
        <f>"1993-04-05"</f>
        <v>1993-04-05</v>
      </c>
      <c r="F76" s="6" t="s">
        <v>47</v>
      </c>
      <c r="G76" s="6" t="str">
        <f t="shared" si="35"/>
        <v>本科</v>
      </c>
      <c r="H76" s="6" t="str">
        <f t="shared" si="36"/>
        <v>学士</v>
      </c>
      <c r="I76" s="6" t="str">
        <f>"湖南中医药大学"</f>
        <v>湖南中医药大学</v>
      </c>
      <c r="J76" s="6" t="str">
        <f aca="true" t="shared" si="40" ref="J76:J81">"中药学"</f>
        <v>中药学</v>
      </c>
      <c r="K76" s="6" t="str">
        <f t="shared" si="39"/>
        <v>初级</v>
      </c>
      <c r="L76" s="10" t="s">
        <v>45</v>
      </c>
      <c r="M76" s="6"/>
    </row>
    <row r="77" spans="1:13" ht="30" customHeight="1">
      <c r="A77" s="6">
        <v>75</v>
      </c>
      <c r="B77" s="9"/>
      <c r="C77" s="6" t="str">
        <f>"杨灵华"</f>
        <v>杨灵华</v>
      </c>
      <c r="D77" s="6" t="str">
        <f t="shared" si="34"/>
        <v>女</v>
      </c>
      <c r="E77" s="6" t="str">
        <f>"1988-12-10"</f>
        <v>1988-12-10</v>
      </c>
      <c r="F77" s="6" t="str">
        <f>"安徽省阜阳市"</f>
        <v>安徽省阜阳市</v>
      </c>
      <c r="G77" s="6" t="str">
        <f t="shared" si="35"/>
        <v>本科</v>
      </c>
      <c r="H77" s="6" t="str">
        <f t="shared" si="36"/>
        <v>学士</v>
      </c>
      <c r="I77" s="6" t="str">
        <f>"北京中医药大学"</f>
        <v>北京中医药大学</v>
      </c>
      <c r="J77" s="6" t="str">
        <f t="shared" si="40"/>
        <v>中药学</v>
      </c>
      <c r="K77" s="6" t="str">
        <f t="shared" si="39"/>
        <v>初级</v>
      </c>
      <c r="L77" s="10" t="s">
        <v>45</v>
      </c>
      <c r="M77" s="6"/>
    </row>
    <row r="78" spans="1:13" ht="30" customHeight="1">
      <c r="A78" s="6">
        <v>76</v>
      </c>
      <c r="B78" s="9"/>
      <c r="C78" s="6" t="str">
        <f>"薛秋桂"</f>
        <v>薛秋桂</v>
      </c>
      <c r="D78" s="6" t="str">
        <f t="shared" si="34"/>
        <v>女</v>
      </c>
      <c r="E78" s="6" t="str">
        <f>"1991-02-05"</f>
        <v>1991-02-05</v>
      </c>
      <c r="F78" s="6" t="s">
        <v>46</v>
      </c>
      <c r="G78" s="6" t="str">
        <f t="shared" si="35"/>
        <v>本科</v>
      </c>
      <c r="H78" s="6" t="str">
        <f t="shared" si="36"/>
        <v>学士</v>
      </c>
      <c r="I78" s="6" t="str">
        <f>"南阳理工学院"</f>
        <v>南阳理工学院</v>
      </c>
      <c r="J78" s="6" t="str">
        <f t="shared" si="40"/>
        <v>中药学</v>
      </c>
      <c r="K78" s="6" t="str">
        <f aca="true" t="shared" si="41" ref="K78:K83">"初级"</f>
        <v>初级</v>
      </c>
      <c r="L78" s="10" t="s">
        <v>45</v>
      </c>
      <c r="M78" s="6"/>
    </row>
    <row r="79" spans="1:13" ht="30" customHeight="1">
      <c r="A79" s="6">
        <v>77</v>
      </c>
      <c r="B79" s="9"/>
      <c r="C79" s="6" t="str">
        <f>"文艺花"</f>
        <v>文艺花</v>
      </c>
      <c r="D79" s="6" t="str">
        <f t="shared" si="34"/>
        <v>女</v>
      </c>
      <c r="E79" s="6" t="str">
        <f>"1991-02-09"</f>
        <v>1991-02-09</v>
      </c>
      <c r="F79" s="6" t="s">
        <v>49</v>
      </c>
      <c r="G79" s="6" t="str">
        <f t="shared" si="35"/>
        <v>本科</v>
      </c>
      <c r="H79" s="6" t="str">
        <f t="shared" si="36"/>
        <v>学士</v>
      </c>
      <c r="I79" s="6" t="str">
        <f>"黑龙江中医药大学"</f>
        <v>黑龙江中医药大学</v>
      </c>
      <c r="J79" s="6" t="str">
        <f t="shared" si="40"/>
        <v>中药学</v>
      </c>
      <c r="K79" s="6" t="str">
        <f t="shared" si="41"/>
        <v>初级</v>
      </c>
      <c r="L79" s="10" t="s">
        <v>45</v>
      </c>
      <c r="M79" s="6"/>
    </row>
    <row r="80" spans="1:13" ht="30" customHeight="1">
      <c r="A80" s="6">
        <v>78</v>
      </c>
      <c r="B80" s="9"/>
      <c r="C80" s="6" t="str">
        <f>"李秀娜"</f>
        <v>李秀娜</v>
      </c>
      <c r="D80" s="6" t="str">
        <f t="shared" si="34"/>
        <v>女</v>
      </c>
      <c r="E80" s="6" t="str">
        <f>"1992-06-12"</f>
        <v>1992-06-12</v>
      </c>
      <c r="F80" s="6" t="str">
        <f>"海南省儋州市"</f>
        <v>海南省儋州市</v>
      </c>
      <c r="G80" s="6" t="str">
        <f t="shared" si="35"/>
        <v>本科</v>
      </c>
      <c r="H80" s="6" t="str">
        <f t="shared" si="36"/>
        <v>学士</v>
      </c>
      <c r="I80" s="6" t="str">
        <f>"黑龙江中医药大学"</f>
        <v>黑龙江中医药大学</v>
      </c>
      <c r="J80" s="6" t="str">
        <f t="shared" si="40"/>
        <v>中药学</v>
      </c>
      <c r="K80" s="6" t="str">
        <f t="shared" si="41"/>
        <v>初级</v>
      </c>
      <c r="L80" s="10" t="s">
        <v>45</v>
      </c>
      <c r="M80" s="6"/>
    </row>
    <row r="81" spans="1:13" ht="30" customHeight="1">
      <c r="A81" s="6">
        <v>79</v>
      </c>
      <c r="B81" s="9"/>
      <c r="C81" s="6" t="str">
        <f>"冯翠萍"</f>
        <v>冯翠萍</v>
      </c>
      <c r="D81" s="6" t="str">
        <f t="shared" si="34"/>
        <v>女</v>
      </c>
      <c r="E81" s="6" t="str">
        <f>"1985-10-07"</f>
        <v>1985-10-07</v>
      </c>
      <c r="F81" s="6" t="s">
        <v>62</v>
      </c>
      <c r="G81" s="6" t="str">
        <f t="shared" si="35"/>
        <v>本科</v>
      </c>
      <c r="H81" s="6" t="str">
        <f t="shared" si="36"/>
        <v>学士</v>
      </c>
      <c r="I81" s="6" t="str">
        <f>"湖北中医药大学"</f>
        <v>湖北中医药大学</v>
      </c>
      <c r="J81" s="6" t="str">
        <f t="shared" si="40"/>
        <v>中药学</v>
      </c>
      <c r="K81" s="6" t="str">
        <f t="shared" si="41"/>
        <v>初级</v>
      </c>
      <c r="L81" s="10" t="s">
        <v>45</v>
      </c>
      <c r="M81" s="6"/>
    </row>
    <row r="82" spans="1:13" ht="30" customHeight="1">
      <c r="A82" s="6">
        <v>80</v>
      </c>
      <c r="B82" s="9"/>
      <c r="C82" s="6" t="str">
        <f>"王俊芳"</f>
        <v>王俊芳</v>
      </c>
      <c r="D82" s="6" t="str">
        <f t="shared" si="34"/>
        <v>女</v>
      </c>
      <c r="E82" s="6" t="str">
        <f>"1993-03-05"</f>
        <v>1993-03-05</v>
      </c>
      <c r="F82" s="6" t="s">
        <v>63</v>
      </c>
      <c r="G82" s="6" t="str">
        <f t="shared" si="35"/>
        <v>本科</v>
      </c>
      <c r="H82" s="6" t="str">
        <f t="shared" si="36"/>
        <v>学士</v>
      </c>
      <c r="I82" s="6" t="str">
        <f>"海南医学院"</f>
        <v>海南医学院</v>
      </c>
      <c r="J82" s="6" t="str">
        <f>"中药学专业"</f>
        <v>中药学专业</v>
      </c>
      <c r="K82" s="6" t="str">
        <f t="shared" si="41"/>
        <v>初级</v>
      </c>
      <c r="L82" s="10" t="s">
        <v>45</v>
      </c>
      <c r="M82" s="6"/>
    </row>
    <row r="83" spans="1:13" ht="30" customHeight="1">
      <c r="A83" s="6">
        <v>81</v>
      </c>
      <c r="B83" s="9"/>
      <c r="C83" s="6" t="str">
        <f>"黄礼梅"</f>
        <v>黄礼梅</v>
      </c>
      <c r="D83" s="6" t="str">
        <f t="shared" si="34"/>
        <v>女</v>
      </c>
      <c r="E83" s="6" t="str">
        <f>"1991-08-12"</f>
        <v>1991-08-12</v>
      </c>
      <c r="F83" s="6" t="s">
        <v>21</v>
      </c>
      <c r="G83" s="6" t="str">
        <f t="shared" si="35"/>
        <v>本科</v>
      </c>
      <c r="H83" s="6" t="str">
        <f t="shared" si="36"/>
        <v>学士</v>
      </c>
      <c r="I83" s="6" t="str">
        <f>"海南医学院"</f>
        <v>海南医学院</v>
      </c>
      <c r="J83" s="6" t="str">
        <f>"中药学专业"</f>
        <v>中药学专业</v>
      </c>
      <c r="K83" s="6" t="str">
        <f t="shared" si="41"/>
        <v>初级</v>
      </c>
      <c r="L83" s="10" t="s">
        <v>45</v>
      </c>
      <c r="M83" s="6"/>
    </row>
    <row r="84" spans="1:13" ht="30" customHeight="1">
      <c r="A84" s="6">
        <v>82</v>
      </c>
      <c r="B84" s="9"/>
      <c r="C84" s="6" t="str">
        <f>"周冬妮"</f>
        <v>周冬妮</v>
      </c>
      <c r="D84" s="6" t="str">
        <f t="shared" si="34"/>
        <v>女</v>
      </c>
      <c r="E84" s="6" t="str">
        <f>"1987-12-26"</f>
        <v>1987-12-26</v>
      </c>
      <c r="F84" s="6" t="s">
        <v>25</v>
      </c>
      <c r="G84" s="6" t="str">
        <f t="shared" si="35"/>
        <v>本科</v>
      </c>
      <c r="H84" s="6" t="str">
        <f t="shared" si="36"/>
        <v>学士</v>
      </c>
      <c r="I84" s="6" t="str">
        <f>"山西中医学院"</f>
        <v>山西中医学院</v>
      </c>
      <c r="J84" s="6" t="str">
        <f aca="true" t="shared" si="42" ref="J84:J97">"中药学"</f>
        <v>中药学</v>
      </c>
      <c r="K84" s="6" t="str">
        <f aca="true" t="shared" si="43" ref="K84:K97">"初级"</f>
        <v>初级</v>
      </c>
      <c r="L84" s="10" t="s">
        <v>45</v>
      </c>
      <c r="M84" s="6"/>
    </row>
    <row r="85" spans="1:13" ht="30" customHeight="1">
      <c r="A85" s="6">
        <v>83</v>
      </c>
      <c r="B85" s="9"/>
      <c r="C85" s="6" t="str">
        <f>"黄海丽"</f>
        <v>黄海丽</v>
      </c>
      <c r="D85" s="6" t="str">
        <f t="shared" si="34"/>
        <v>女</v>
      </c>
      <c r="E85" s="6" t="str">
        <f>"1990-08-04"</f>
        <v>1990-08-04</v>
      </c>
      <c r="F85" s="6" t="str">
        <f>"海南省屯昌县"</f>
        <v>海南省屯昌县</v>
      </c>
      <c r="G85" s="6" t="str">
        <f t="shared" si="35"/>
        <v>本科</v>
      </c>
      <c r="H85" s="6" t="str">
        <f t="shared" si="36"/>
        <v>学士</v>
      </c>
      <c r="I85" s="6" t="str">
        <f>"黑龙江中医药大学"</f>
        <v>黑龙江中医药大学</v>
      </c>
      <c r="J85" s="6" t="str">
        <f t="shared" si="42"/>
        <v>中药学</v>
      </c>
      <c r="K85" s="6" t="str">
        <f t="shared" si="43"/>
        <v>初级</v>
      </c>
      <c r="L85" s="10" t="s">
        <v>45</v>
      </c>
      <c r="M85" s="6"/>
    </row>
    <row r="86" spans="1:13" ht="30" customHeight="1">
      <c r="A86" s="6">
        <v>84</v>
      </c>
      <c r="B86" s="9"/>
      <c r="C86" s="6" t="str">
        <f>"苏丽"</f>
        <v>苏丽</v>
      </c>
      <c r="D86" s="6" t="str">
        <f t="shared" si="34"/>
        <v>女</v>
      </c>
      <c r="E86" s="6" t="str">
        <f>"1987-05-20"</f>
        <v>1987-05-20</v>
      </c>
      <c r="F86" s="6" t="s">
        <v>49</v>
      </c>
      <c r="G86" s="6" t="str">
        <f t="shared" si="35"/>
        <v>本科</v>
      </c>
      <c r="H86" s="6" t="str">
        <f t="shared" si="36"/>
        <v>学士</v>
      </c>
      <c r="I86" s="6" t="str">
        <f>"成都中医药大学"</f>
        <v>成都中医药大学</v>
      </c>
      <c r="J86" s="6" t="str">
        <f t="shared" si="42"/>
        <v>中药学</v>
      </c>
      <c r="K86" s="6" t="str">
        <f t="shared" si="43"/>
        <v>初级</v>
      </c>
      <c r="L86" s="10" t="s">
        <v>45</v>
      </c>
      <c r="M86" s="6"/>
    </row>
    <row r="87" spans="1:13" ht="30" customHeight="1">
      <c r="A87" s="6">
        <v>85</v>
      </c>
      <c r="B87" s="9"/>
      <c r="C87" s="6" t="str">
        <f>"陈金转"</f>
        <v>陈金转</v>
      </c>
      <c r="D87" s="6" t="str">
        <f t="shared" si="34"/>
        <v>女</v>
      </c>
      <c r="E87" s="6" t="str">
        <f>"1995-04-25"</f>
        <v>1995-04-25</v>
      </c>
      <c r="F87" s="6" t="s">
        <v>25</v>
      </c>
      <c r="G87" s="6" t="str">
        <f t="shared" si="35"/>
        <v>本科</v>
      </c>
      <c r="H87" s="6" t="str">
        <f t="shared" si="36"/>
        <v>学士</v>
      </c>
      <c r="I87" s="6" t="str">
        <f>"大连大学"</f>
        <v>大连大学</v>
      </c>
      <c r="J87" s="6" t="str">
        <f t="shared" si="42"/>
        <v>中药学</v>
      </c>
      <c r="K87" s="6" t="str">
        <f t="shared" si="43"/>
        <v>初级</v>
      </c>
      <c r="L87" s="10" t="s">
        <v>45</v>
      </c>
      <c r="M87" s="6"/>
    </row>
    <row r="88" spans="1:13" ht="30" customHeight="1">
      <c r="A88" s="6">
        <v>86</v>
      </c>
      <c r="B88" s="9"/>
      <c r="C88" s="6" t="str">
        <f>"黄宏菲"</f>
        <v>黄宏菲</v>
      </c>
      <c r="D88" s="6" t="str">
        <f t="shared" si="34"/>
        <v>女</v>
      </c>
      <c r="E88" s="6" t="str">
        <f>"1992-10-22"</f>
        <v>1992-10-22</v>
      </c>
      <c r="F88" s="6" t="s">
        <v>34</v>
      </c>
      <c r="G88" s="6" t="str">
        <f t="shared" si="35"/>
        <v>本科</v>
      </c>
      <c r="H88" s="6" t="str">
        <f t="shared" si="36"/>
        <v>学士</v>
      </c>
      <c r="I88" s="6" t="str">
        <f>"江西中医药大学"</f>
        <v>江西中医药大学</v>
      </c>
      <c r="J88" s="6" t="str">
        <f t="shared" si="42"/>
        <v>中药学</v>
      </c>
      <c r="K88" s="6" t="str">
        <f t="shared" si="43"/>
        <v>初级</v>
      </c>
      <c r="L88" s="10" t="s">
        <v>45</v>
      </c>
      <c r="M88" s="6"/>
    </row>
    <row r="89" spans="1:13" ht="30" customHeight="1">
      <c r="A89" s="6">
        <v>87</v>
      </c>
      <c r="B89" s="9"/>
      <c r="C89" s="6" t="str">
        <f>"王高明"</f>
        <v>王高明</v>
      </c>
      <c r="D89" s="6" t="str">
        <f>"男"</f>
        <v>男</v>
      </c>
      <c r="E89" s="6" t="str">
        <f>"1993-08-11"</f>
        <v>1993-08-11</v>
      </c>
      <c r="F89" s="6" t="s">
        <v>33</v>
      </c>
      <c r="G89" s="6" t="str">
        <f t="shared" si="35"/>
        <v>本科</v>
      </c>
      <c r="H89" s="6" t="str">
        <f t="shared" si="36"/>
        <v>学士</v>
      </c>
      <c r="I89" s="6" t="str">
        <f>"海南医学院"</f>
        <v>海南医学院</v>
      </c>
      <c r="J89" s="6" t="str">
        <f t="shared" si="42"/>
        <v>中药学</v>
      </c>
      <c r="K89" s="6" t="str">
        <f t="shared" si="43"/>
        <v>初级</v>
      </c>
      <c r="L89" s="10" t="s">
        <v>45</v>
      </c>
      <c r="M89" s="6"/>
    </row>
    <row r="90" spans="1:13" ht="30" customHeight="1">
      <c r="A90" s="6">
        <v>88</v>
      </c>
      <c r="B90" s="9"/>
      <c r="C90" s="6" t="str">
        <f>"柯琳"</f>
        <v>柯琳</v>
      </c>
      <c r="D90" s="6" t="str">
        <f aca="true" t="shared" si="44" ref="D90:D106">"女"</f>
        <v>女</v>
      </c>
      <c r="E90" s="6" t="str">
        <f>"1986-02-24"</f>
        <v>1986-02-24</v>
      </c>
      <c r="F90" s="6" t="s">
        <v>25</v>
      </c>
      <c r="G90" s="6" t="str">
        <f t="shared" si="35"/>
        <v>本科</v>
      </c>
      <c r="H90" s="6" t="str">
        <f t="shared" si="36"/>
        <v>学士</v>
      </c>
      <c r="I90" s="6" t="str">
        <f>"湖南中医药大学"</f>
        <v>湖南中医药大学</v>
      </c>
      <c r="J90" s="6" t="str">
        <f t="shared" si="42"/>
        <v>中药学</v>
      </c>
      <c r="K90" s="6" t="str">
        <f t="shared" si="43"/>
        <v>初级</v>
      </c>
      <c r="L90" s="10" t="s">
        <v>45</v>
      </c>
      <c r="M90" s="6"/>
    </row>
    <row r="91" spans="1:13" ht="30" customHeight="1">
      <c r="A91" s="6">
        <v>89</v>
      </c>
      <c r="B91" s="9"/>
      <c r="C91" s="6" t="str">
        <f>"陈玉婷"</f>
        <v>陈玉婷</v>
      </c>
      <c r="D91" s="6" t="str">
        <f t="shared" si="44"/>
        <v>女</v>
      </c>
      <c r="E91" s="6" t="str">
        <f>"1992-07-30"</f>
        <v>1992-07-30</v>
      </c>
      <c r="F91" s="6" t="s">
        <v>62</v>
      </c>
      <c r="G91" s="6" t="str">
        <f t="shared" si="35"/>
        <v>本科</v>
      </c>
      <c r="H91" s="6" t="str">
        <f t="shared" si="36"/>
        <v>学士</v>
      </c>
      <c r="I91" s="6" t="str">
        <f>"北京中医药大学"</f>
        <v>北京中医药大学</v>
      </c>
      <c r="J91" s="6" t="str">
        <f t="shared" si="42"/>
        <v>中药学</v>
      </c>
      <c r="K91" s="6" t="str">
        <f t="shared" si="43"/>
        <v>初级</v>
      </c>
      <c r="L91" s="10" t="s">
        <v>45</v>
      </c>
      <c r="M91" s="6"/>
    </row>
    <row r="92" spans="1:13" ht="30" customHeight="1">
      <c r="A92" s="6">
        <v>90</v>
      </c>
      <c r="B92" s="9"/>
      <c r="C92" s="6" t="str">
        <f>"钟星"</f>
        <v>钟星</v>
      </c>
      <c r="D92" s="6" t="str">
        <f t="shared" si="44"/>
        <v>女</v>
      </c>
      <c r="E92" s="6" t="str">
        <f>"1993-10-05"</f>
        <v>1993-10-05</v>
      </c>
      <c r="F92" s="6" t="s">
        <v>64</v>
      </c>
      <c r="G92" s="6" t="str">
        <f t="shared" si="35"/>
        <v>本科</v>
      </c>
      <c r="H92" s="6" t="str">
        <f>"无"</f>
        <v>无</v>
      </c>
      <c r="I92" s="6" t="str">
        <f aca="true" t="shared" si="45" ref="I92:I96">"海南医学院"</f>
        <v>海南医学院</v>
      </c>
      <c r="J92" s="6" t="str">
        <f t="shared" si="42"/>
        <v>中药学</v>
      </c>
      <c r="K92" s="6" t="str">
        <f t="shared" si="43"/>
        <v>初级</v>
      </c>
      <c r="L92" s="10" t="s">
        <v>45</v>
      </c>
      <c r="M92" s="6"/>
    </row>
    <row r="93" spans="1:13" ht="30" customHeight="1">
      <c r="A93" s="6">
        <v>91</v>
      </c>
      <c r="B93" s="9"/>
      <c r="C93" s="6" t="str">
        <f>"陈秀明"</f>
        <v>陈秀明</v>
      </c>
      <c r="D93" s="6" t="str">
        <f t="shared" si="44"/>
        <v>女</v>
      </c>
      <c r="E93" s="6" t="str">
        <f>"1991-01-15"</f>
        <v>1991-01-15</v>
      </c>
      <c r="F93" s="6" t="s">
        <v>25</v>
      </c>
      <c r="G93" s="6" t="str">
        <f t="shared" si="35"/>
        <v>本科</v>
      </c>
      <c r="H93" s="6" t="str">
        <f aca="true" t="shared" si="46" ref="H93:H127">"学士"</f>
        <v>学士</v>
      </c>
      <c r="I93" s="6" t="str">
        <f>"成都中医药大学"</f>
        <v>成都中医药大学</v>
      </c>
      <c r="J93" s="6" t="str">
        <f t="shared" si="42"/>
        <v>中药学</v>
      </c>
      <c r="K93" s="6" t="str">
        <f t="shared" si="43"/>
        <v>初级</v>
      </c>
      <c r="L93" s="10" t="s">
        <v>45</v>
      </c>
      <c r="M93" s="6"/>
    </row>
    <row r="94" spans="1:13" ht="30" customHeight="1">
      <c r="A94" s="6">
        <v>92</v>
      </c>
      <c r="B94" s="9"/>
      <c r="C94" s="6" t="str">
        <f>"罗嘉文"</f>
        <v>罗嘉文</v>
      </c>
      <c r="D94" s="6" t="str">
        <f t="shared" si="44"/>
        <v>女</v>
      </c>
      <c r="E94" s="6" t="str">
        <f>"1992-01-26"</f>
        <v>1992-01-26</v>
      </c>
      <c r="F94" s="6" t="s">
        <v>65</v>
      </c>
      <c r="G94" s="6" t="str">
        <f t="shared" si="35"/>
        <v>本科</v>
      </c>
      <c r="H94" s="6" t="str">
        <f t="shared" si="46"/>
        <v>学士</v>
      </c>
      <c r="I94" s="6" t="str">
        <f>"黑龙江中医药大学"</f>
        <v>黑龙江中医药大学</v>
      </c>
      <c r="J94" s="6" t="str">
        <f t="shared" si="42"/>
        <v>中药学</v>
      </c>
      <c r="K94" s="6" t="str">
        <f t="shared" si="43"/>
        <v>初级</v>
      </c>
      <c r="L94" s="10" t="s">
        <v>45</v>
      </c>
      <c r="M94" s="6"/>
    </row>
    <row r="95" spans="1:13" ht="30" customHeight="1">
      <c r="A95" s="6">
        <v>93</v>
      </c>
      <c r="B95" s="9"/>
      <c r="C95" s="6" t="str">
        <f>"赵诗景"</f>
        <v>赵诗景</v>
      </c>
      <c r="D95" s="6" t="str">
        <f t="shared" si="44"/>
        <v>女</v>
      </c>
      <c r="E95" s="6" t="str">
        <f>"1993-12-07"</f>
        <v>1993-12-07</v>
      </c>
      <c r="F95" s="6" t="str">
        <f>"海南省东方市"</f>
        <v>海南省东方市</v>
      </c>
      <c r="G95" s="6" t="str">
        <f t="shared" si="35"/>
        <v>本科</v>
      </c>
      <c r="H95" s="6" t="str">
        <f t="shared" si="46"/>
        <v>学士</v>
      </c>
      <c r="I95" s="6" t="str">
        <f t="shared" si="45"/>
        <v>海南医学院</v>
      </c>
      <c r="J95" s="6" t="str">
        <f t="shared" si="42"/>
        <v>中药学</v>
      </c>
      <c r="K95" s="6" t="str">
        <f t="shared" si="43"/>
        <v>初级</v>
      </c>
      <c r="L95" s="10" t="s">
        <v>45</v>
      </c>
      <c r="M95" s="6"/>
    </row>
    <row r="96" spans="1:13" ht="30" customHeight="1">
      <c r="A96" s="6">
        <v>94</v>
      </c>
      <c r="B96" s="9"/>
      <c r="C96" s="6" t="str">
        <f>"王江艳"</f>
        <v>王江艳</v>
      </c>
      <c r="D96" s="6" t="str">
        <f t="shared" si="44"/>
        <v>女</v>
      </c>
      <c r="E96" s="6" t="str">
        <f>"1988-08-15"</f>
        <v>1988-08-15</v>
      </c>
      <c r="F96" s="6" t="s">
        <v>47</v>
      </c>
      <c r="G96" s="6" t="str">
        <f t="shared" si="35"/>
        <v>本科</v>
      </c>
      <c r="H96" s="6" t="str">
        <f t="shared" si="46"/>
        <v>学士</v>
      </c>
      <c r="I96" s="6" t="str">
        <f t="shared" si="45"/>
        <v>海南医学院</v>
      </c>
      <c r="J96" s="6" t="str">
        <f t="shared" si="42"/>
        <v>中药学</v>
      </c>
      <c r="K96" s="6" t="str">
        <f t="shared" si="43"/>
        <v>初级</v>
      </c>
      <c r="L96" s="10" t="s">
        <v>45</v>
      </c>
      <c r="M96" s="6"/>
    </row>
    <row r="97" spans="1:13" ht="30" customHeight="1">
      <c r="A97" s="6">
        <v>95</v>
      </c>
      <c r="B97" s="8"/>
      <c r="C97" s="6" t="str">
        <f>"羊丽秋"</f>
        <v>羊丽秋</v>
      </c>
      <c r="D97" s="6" t="str">
        <f t="shared" si="44"/>
        <v>女</v>
      </c>
      <c r="E97" s="6" t="str">
        <f>"1990-09-23"</f>
        <v>1990-09-23</v>
      </c>
      <c r="F97" s="6" t="str">
        <f>"海南洋浦"</f>
        <v>海南洋浦</v>
      </c>
      <c r="G97" s="6" t="str">
        <f t="shared" si="35"/>
        <v>本科</v>
      </c>
      <c r="H97" s="6" t="str">
        <f t="shared" si="46"/>
        <v>学士</v>
      </c>
      <c r="I97" s="6" t="str">
        <f>"中国药科大学"</f>
        <v>中国药科大学</v>
      </c>
      <c r="J97" s="6" t="str">
        <f t="shared" si="42"/>
        <v>中药学</v>
      </c>
      <c r="K97" s="6" t="str">
        <f t="shared" si="43"/>
        <v>初级</v>
      </c>
      <c r="L97" s="10" t="s">
        <v>45</v>
      </c>
      <c r="M97" s="6"/>
    </row>
    <row r="98" spans="1:13" ht="30" customHeight="1">
      <c r="A98" s="6">
        <v>96</v>
      </c>
      <c r="B98" s="7" t="s">
        <v>66</v>
      </c>
      <c r="C98" s="6" t="str">
        <f>"金莉娟"</f>
        <v>金莉娟</v>
      </c>
      <c r="D98" s="6" t="str">
        <f t="shared" si="44"/>
        <v>女</v>
      </c>
      <c r="E98" s="6" t="str">
        <f>"1997-05-28"</f>
        <v>1997-05-28</v>
      </c>
      <c r="F98" s="6" t="s">
        <v>67</v>
      </c>
      <c r="G98" s="6" t="str">
        <f t="shared" si="35"/>
        <v>本科</v>
      </c>
      <c r="H98" s="6" t="str">
        <f t="shared" si="46"/>
        <v>学士</v>
      </c>
      <c r="I98" s="6" t="str">
        <f>"遵义医科大学珠海校区"</f>
        <v>遵义医科大学珠海校区</v>
      </c>
      <c r="J98" s="6" t="str">
        <f aca="true" t="shared" si="47" ref="J98:J101">"护理学"</f>
        <v>护理学</v>
      </c>
      <c r="K98" s="6" t="s">
        <v>19</v>
      </c>
      <c r="L98" s="10" t="s">
        <v>45</v>
      </c>
      <c r="M98" s="6"/>
    </row>
    <row r="99" spans="1:13" ht="30" customHeight="1">
      <c r="A99" s="6">
        <v>97</v>
      </c>
      <c r="B99" s="9"/>
      <c r="C99" s="6" t="str">
        <f>"包有娥"</f>
        <v>包有娥</v>
      </c>
      <c r="D99" s="6" t="str">
        <f t="shared" si="44"/>
        <v>女</v>
      </c>
      <c r="E99" s="6" t="str">
        <f>"1997-01-08"</f>
        <v>1997-01-08</v>
      </c>
      <c r="F99" s="6" t="s">
        <v>54</v>
      </c>
      <c r="G99" s="6" t="str">
        <f t="shared" si="35"/>
        <v>本科</v>
      </c>
      <c r="H99" s="6" t="str">
        <f t="shared" si="46"/>
        <v>学士</v>
      </c>
      <c r="I99" s="6" t="str">
        <f>"昆明医科大学海源学院"</f>
        <v>昆明医科大学海源学院</v>
      </c>
      <c r="J99" s="6" t="str">
        <f t="shared" si="47"/>
        <v>护理学</v>
      </c>
      <c r="K99" s="6" t="s">
        <v>19</v>
      </c>
      <c r="L99" s="10" t="s">
        <v>45</v>
      </c>
      <c r="M99" s="6"/>
    </row>
    <row r="100" spans="1:13" ht="30" customHeight="1">
      <c r="A100" s="6">
        <v>98</v>
      </c>
      <c r="B100" s="9"/>
      <c r="C100" s="6" t="str">
        <f>"王爱香"</f>
        <v>王爱香</v>
      </c>
      <c r="D100" s="6" t="str">
        <f t="shared" si="44"/>
        <v>女</v>
      </c>
      <c r="E100" s="6" t="str">
        <f>"1993-09-10"</f>
        <v>1993-09-10</v>
      </c>
      <c r="F100" s="6" t="str">
        <f>"海南省儋州市"</f>
        <v>海南省儋州市</v>
      </c>
      <c r="G100" s="6" t="str">
        <f t="shared" si="35"/>
        <v>本科</v>
      </c>
      <c r="H100" s="6" t="str">
        <f t="shared" si="46"/>
        <v>学士</v>
      </c>
      <c r="I100" s="6" t="str">
        <f>"江西科技学院"</f>
        <v>江西科技学院</v>
      </c>
      <c r="J100" s="6" t="str">
        <f t="shared" si="47"/>
        <v>护理学</v>
      </c>
      <c r="K100" s="6" t="s">
        <v>19</v>
      </c>
      <c r="L100" s="10" t="s">
        <v>45</v>
      </c>
      <c r="M100" s="6"/>
    </row>
    <row r="101" spans="1:13" ht="30" customHeight="1">
      <c r="A101" s="6">
        <v>99</v>
      </c>
      <c r="B101" s="9"/>
      <c r="C101" s="6" t="str">
        <f>"郑雨露"</f>
        <v>郑雨露</v>
      </c>
      <c r="D101" s="6" t="str">
        <f t="shared" si="44"/>
        <v>女</v>
      </c>
      <c r="E101" s="6" t="str">
        <f>"1996-08-03"</f>
        <v>1996-08-03</v>
      </c>
      <c r="F101" s="6" t="s">
        <v>25</v>
      </c>
      <c r="G101" s="6" t="str">
        <f t="shared" si="35"/>
        <v>本科</v>
      </c>
      <c r="H101" s="6" t="str">
        <f t="shared" si="46"/>
        <v>学士</v>
      </c>
      <c r="I101" s="6" t="str">
        <f>"长沙医学院"</f>
        <v>长沙医学院</v>
      </c>
      <c r="J101" s="6" t="str">
        <f t="shared" si="47"/>
        <v>护理学</v>
      </c>
      <c r="K101" s="6" t="s">
        <v>19</v>
      </c>
      <c r="L101" s="10" t="s">
        <v>45</v>
      </c>
      <c r="M101" s="6"/>
    </row>
    <row r="102" spans="1:13" ht="30" customHeight="1">
      <c r="A102" s="6">
        <v>100</v>
      </c>
      <c r="B102" s="9"/>
      <c r="C102" s="6" t="str">
        <f>"万丽虹"</f>
        <v>万丽虹</v>
      </c>
      <c r="D102" s="6" t="str">
        <f t="shared" si="44"/>
        <v>女</v>
      </c>
      <c r="E102" s="6" t="str">
        <f>"1996-01-20"</f>
        <v>1996-01-20</v>
      </c>
      <c r="F102" s="6" t="s">
        <v>46</v>
      </c>
      <c r="G102" s="6" t="str">
        <f t="shared" si="35"/>
        <v>本科</v>
      </c>
      <c r="H102" s="6" t="str">
        <f t="shared" si="46"/>
        <v>学士</v>
      </c>
      <c r="I102" s="6" t="str">
        <f>"东北师范大学人文学院"</f>
        <v>东北师范大学人文学院</v>
      </c>
      <c r="J102" s="6" t="str">
        <f>"护理学"</f>
        <v>护理学</v>
      </c>
      <c r="K102" s="6" t="s">
        <v>19</v>
      </c>
      <c r="L102" s="10" t="s">
        <v>45</v>
      </c>
      <c r="M102" s="6"/>
    </row>
    <row r="103" spans="1:13" ht="30" customHeight="1">
      <c r="A103" s="6">
        <v>101</v>
      </c>
      <c r="B103" s="9"/>
      <c r="C103" s="6" t="str">
        <f>"吴火荣"</f>
        <v>吴火荣</v>
      </c>
      <c r="D103" s="6" t="str">
        <f t="shared" si="44"/>
        <v>女</v>
      </c>
      <c r="E103" s="6" t="str">
        <f>"1992-01-12"</f>
        <v>1992-01-12</v>
      </c>
      <c r="F103" s="6" t="s">
        <v>68</v>
      </c>
      <c r="G103" s="6" t="str">
        <f t="shared" si="35"/>
        <v>本科</v>
      </c>
      <c r="H103" s="6" t="str">
        <f t="shared" si="46"/>
        <v>学士</v>
      </c>
      <c r="I103" s="6" t="str">
        <f>"广东医科大学"</f>
        <v>广东医科大学</v>
      </c>
      <c r="J103" s="6" t="str">
        <f aca="true" t="shared" si="48" ref="J103:J110">"护理学"</f>
        <v>护理学</v>
      </c>
      <c r="K103" s="6" t="s">
        <v>19</v>
      </c>
      <c r="L103" s="10" t="s">
        <v>45</v>
      </c>
      <c r="M103" s="6"/>
    </row>
    <row r="104" spans="1:13" ht="30" customHeight="1">
      <c r="A104" s="6">
        <v>102</v>
      </c>
      <c r="B104" s="9"/>
      <c r="C104" s="6" t="str">
        <f>"林燕传"</f>
        <v>林燕传</v>
      </c>
      <c r="D104" s="6" t="str">
        <f t="shared" si="44"/>
        <v>女</v>
      </c>
      <c r="E104" s="6" t="str">
        <f>"1996-12-11"</f>
        <v>1996-12-11</v>
      </c>
      <c r="F104" s="6" t="str">
        <f>"海南省临高县"</f>
        <v>海南省临高县</v>
      </c>
      <c r="G104" s="6" t="str">
        <f t="shared" si="35"/>
        <v>本科</v>
      </c>
      <c r="H104" s="6" t="str">
        <f t="shared" si="46"/>
        <v>学士</v>
      </c>
      <c r="I104" s="6" t="str">
        <f>"海南医学院"</f>
        <v>海南医学院</v>
      </c>
      <c r="J104" s="6" t="str">
        <f t="shared" si="48"/>
        <v>护理学</v>
      </c>
      <c r="K104" s="6" t="s">
        <v>19</v>
      </c>
      <c r="L104" s="10" t="s">
        <v>45</v>
      </c>
      <c r="M104" s="6"/>
    </row>
    <row r="105" spans="1:13" ht="30" customHeight="1">
      <c r="A105" s="6">
        <v>103</v>
      </c>
      <c r="B105" s="9"/>
      <c r="C105" s="6" t="str">
        <f>"符子娜"</f>
        <v>符子娜</v>
      </c>
      <c r="D105" s="6" t="str">
        <f t="shared" si="44"/>
        <v>女</v>
      </c>
      <c r="E105" s="6" t="str">
        <f>"1995-07-29"</f>
        <v>1995-07-29</v>
      </c>
      <c r="F105" s="6" t="str">
        <f>"海南省东方市"</f>
        <v>海南省东方市</v>
      </c>
      <c r="G105" s="6" t="str">
        <f t="shared" si="35"/>
        <v>本科</v>
      </c>
      <c r="H105" s="6" t="str">
        <f t="shared" si="46"/>
        <v>学士</v>
      </c>
      <c r="I105" s="6" t="str">
        <f>"江西科技学院"</f>
        <v>江西科技学院</v>
      </c>
      <c r="J105" s="6" t="str">
        <f t="shared" si="48"/>
        <v>护理学</v>
      </c>
      <c r="K105" s="6" t="s">
        <v>19</v>
      </c>
      <c r="L105" s="10" t="s">
        <v>45</v>
      </c>
      <c r="M105" s="6"/>
    </row>
    <row r="106" spans="1:13" ht="30" customHeight="1">
      <c r="A106" s="6">
        <v>104</v>
      </c>
      <c r="B106" s="9"/>
      <c r="C106" s="6" t="str">
        <f>"何芳"</f>
        <v>何芳</v>
      </c>
      <c r="D106" s="6" t="str">
        <f t="shared" si="44"/>
        <v>女</v>
      </c>
      <c r="E106" s="6" t="str">
        <f>"1995-07-15"</f>
        <v>1995-07-15</v>
      </c>
      <c r="F106" s="6" t="s">
        <v>46</v>
      </c>
      <c r="G106" s="6" t="str">
        <f t="shared" si="35"/>
        <v>本科</v>
      </c>
      <c r="H106" s="6" t="str">
        <f t="shared" si="46"/>
        <v>学士</v>
      </c>
      <c r="I106" s="6" t="str">
        <f>"山西医科大学"</f>
        <v>山西医科大学</v>
      </c>
      <c r="J106" s="6" t="str">
        <f t="shared" si="48"/>
        <v>护理学</v>
      </c>
      <c r="K106" s="6" t="s">
        <v>19</v>
      </c>
      <c r="L106" s="10" t="s">
        <v>45</v>
      </c>
      <c r="M106" s="6"/>
    </row>
    <row r="107" spans="1:13" ht="30" customHeight="1">
      <c r="A107" s="6">
        <v>105</v>
      </c>
      <c r="B107" s="9"/>
      <c r="C107" s="6" t="str">
        <f>"马亚磊"</f>
        <v>马亚磊</v>
      </c>
      <c r="D107" s="6" t="str">
        <f>"男"</f>
        <v>男</v>
      </c>
      <c r="E107" s="6" t="str">
        <f>"1994-11-02"</f>
        <v>1994-11-02</v>
      </c>
      <c r="F107" s="6" t="s">
        <v>69</v>
      </c>
      <c r="G107" s="6" t="str">
        <f t="shared" si="35"/>
        <v>本科</v>
      </c>
      <c r="H107" s="6" t="str">
        <f t="shared" si="46"/>
        <v>学士</v>
      </c>
      <c r="I107" s="6" t="str">
        <f>"海南医学院"</f>
        <v>海南医学院</v>
      </c>
      <c r="J107" s="6" t="str">
        <f t="shared" si="48"/>
        <v>护理学</v>
      </c>
      <c r="K107" s="6" t="s">
        <v>19</v>
      </c>
      <c r="L107" s="10" t="s">
        <v>45</v>
      </c>
      <c r="M107" s="6"/>
    </row>
    <row r="108" spans="1:13" ht="30" customHeight="1">
      <c r="A108" s="6">
        <v>106</v>
      </c>
      <c r="B108" s="9"/>
      <c r="C108" s="6" t="str">
        <f>"陈肖茹"</f>
        <v>陈肖茹</v>
      </c>
      <c r="D108" s="6" t="str">
        <f aca="true" t="shared" si="49" ref="D108:D127">"女"</f>
        <v>女</v>
      </c>
      <c r="E108" s="6" t="str">
        <f>"1996-12-29"</f>
        <v>1996-12-29</v>
      </c>
      <c r="F108" s="6" t="s">
        <v>39</v>
      </c>
      <c r="G108" s="6" t="str">
        <f t="shared" si="35"/>
        <v>本科</v>
      </c>
      <c r="H108" s="6" t="str">
        <f t="shared" si="46"/>
        <v>学士</v>
      </c>
      <c r="I108" s="6" t="str">
        <f>"山东协和学院"</f>
        <v>山东协和学院</v>
      </c>
      <c r="J108" s="6" t="str">
        <f t="shared" si="48"/>
        <v>护理学</v>
      </c>
      <c r="K108" s="6" t="s">
        <v>19</v>
      </c>
      <c r="L108" s="10" t="s">
        <v>45</v>
      </c>
      <c r="M108" s="6"/>
    </row>
    <row r="109" spans="1:13" ht="30" customHeight="1">
      <c r="A109" s="6">
        <v>107</v>
      </c>
      <c r="B109" s="9"/>
      <c r="C109" s="6" t="str">
        <f>"邢玉娇"</f>
        <v>邢玉娇</v>
      </c>
      <c r="D109" s="6" t="str">
        <f t="shared" si="49"/>
        <v>女</v>
      </c>
      <c r="E109" s="6" t="str">
        <f>"1998-03-15"</f>
        <v>1998-03-15</v>
      </c>
      <c r="F109" s="6" t="s">
        <v>39</v>
      </c>
      <c r="G109" s="6" t="str">
        <f t="shared" si="35"/>
        <v>本科</v>
      </c>
      <c r="H109" s="6" t="str">
        <f t="shared" si="46"/>
        <v>学士</v>
      </c>
      <c r="I109" s="6" t="str">
        <f>"长沙医学院"</f>
        <v>长沙医学院</v>
      </c>
      <c r="J109" s="6" t="str">
        <f t="shared" si="48"/>
        <v>护理学</v>
      </c>
      <c r="K109" s="6" t="s">
        <v>19</v>
      </c>
      <c r="L109" s="10" t="s">
        <v>45</v>
      </c>
      <c r="M109" s="6"/>
    </row>
    <row r="110" spans="1:13" ht="30" customHeight="1">
      <c r="A110" s="6">
        <v>108</v>
      </c>
      <c r="B110" s="9"/>
      <c r="C110" s="6" t="str">
        <f>"卢世秋"</f>
        <v>卢世秋</v>
      </c>
      <c r="D110" s="6" t="str">
        <f t="shared" si="49"/>
        <v>女</v>
      </c>
      <c r="E110" s="6" t="str">
        <f>"1997-11-13"</f>
        <v>1997-11-13</v>
      </c>
      <c r="F110" s="6" t="s">
        <v>47</v>
      </c>
      <c r="G110" s="6" t="str">
        <f t="shared" si="35"/>
        <v>本科</v>
      </c>
      <c r="H110" s="6" t="str">
        <f t="shared" si="46"/>
        <v>学士</v>
      </c>
      <c r="I110" s="6" t="str">
        <f>"北京中医药大学东方学院"</f>
        <v>北京中医药大学东方学院</v>
      </c>
      <c r="J110" s="6" t="str">
        <f t="shared" si="48"/>
        <v>护理学</v>
      </c>
      <c r="K110" s="6" t="s">
        <v>19</v>
      </c>
      <c r="L110" s="10" t="s">
        <v>45</v>
      </c>
      <c r="M110" s="6"/>
    </row>
    <row r="111" spans="1:13" ht="30" customHeight="1">
      <c r="A111" s="6">
        <v>109</v>
      </c>
      <c r="B111" s="9"/>
      <c r="C111" s="6" t="str">
        <f>"王君怡"</f>
        <v>王君怡</v>
      </c>
      <c r="D111" s="6" t="str">
        <f t="shared" si="49"/>
        <v>女</v>
      </c>
      <c r="E111" s="6" t="str">
        <f>"1995-03-08"</f>
        <v>1995-03-08</v>
      </c>
      <c r="F111" s="6" t="s">
        <v>69</v>
      </c>
      <c r="G111" s="6" t="str">
        <f t="shared" si="35"/>
        <v>本科</v>
      </c>
      <c r="H111" s="6" t="str">
        <f t="shared" si="46"/>
        <v>学士</v>
      </c>
      <c r="I111" s="6" t="str">
        <f>"郑州大学"</f>
        <v>郑州大学</v>
      </c>
      <c r="J111" s="6" t="s">
        <v>70</v>
      </c>
      <c r="K111" s="6" t="s">
        <v>19</v>
      </c>
      <c r="L111" s="10" t="s">
        <v>45</v>
      </c>
      <c r="M111" s="6"/>
    </row>
    <row r="112" spans="1:13" ht="30" customHeight="1">
      <c r="A112" s="6">
        <v>110</v>
      </c>
      <c r="B112" s="9"/>
      <c r="C112" s="6" t="str">
        <f>"项朝妹"</f>
        <v>项朝妹</v>
      </c>
      <c r="D112" s="6" t="str">
        <f t="shared" si="49"/>
        <v>女</v>
      </c>
      <c r="E112" s="6" t="str">
        <f>"1995-04-05"</f>
        <v>1995-04-05</v>
      </c>
      <c r="F112" s="6" t="s">
        <v>25</v>
      </c>
      <c r="G112" s="6" t="str">
        <f t="shared" si="35"/>
        <v>本科</v>
      </c>
      <c r="H112" s="6" t="str">
        <f t="shared" si="46"/>
        <v>学士</v>
      </c>
      <c r="I112" s="6" t="str">
        <f>"齐鲁医药学院"</f>
        <v>齐鲁医药学院</v>
      </c>
      <c r="J112" s="6" t="str">
        <f aca="true" t="shared" si="50" ref="J112:J116">"护理学"</f>
        <v>护理学</v>
      </c>
      <c r="K112" s="6" t="s">
        <v>19</v>
      </c>
      <c r="L112" s="10" t="s">
        <v>45</v>
      </c>
      <c r="M112" s="6"/>
    </row>
    <row r="113" spans="1:13" ht="30" customHeight="1">
      <c r="A113" s="6">
        <v>111</v>
      </c>
      <c r="B113" s="9"/>
      <c r="C113" s="6" t="str">
        <f>"李明莹"</f>
        <v>李明莹</v>
      </c>
      <c r="D113" s="6" t="str">
        <f t="shared" si="49"/>
        <v>女</v>
      </c>
      <c r="E113" s="6" t="str">
        <f>"1997-02-15"</f>
        <v>1997-02-15</v>
      </c>
      <c r="F113" s="6" t="s">
        <v>46</v>
      </c>
      <c r="G113" s="6" t="str">
        <f t="shared" si="35"/>
        <v>本科</v>
      </c>
      <c r="H113" s="6" t="str">
        <f t="shared" si="46"/>
        <v>学士</v>
      </c>
      <c r="I113" s="6" t="str">
        <f>"长沙医学院"</f>
        <v>长沙医学院</v>
      </c>
      <c r="J113" s="6" t="str">
        <f t="shared" si="50"/>
        <v>护理学</v>
      </c>
      <c r="K113" s="6" t="s">
        <v>19</v>
      </c>
      <c r="L113" s="10" t="s">
        <v>45</v>
      </c>
      <c r="M113" s="6"/>
    </row>
    <row r="114" spans="1:13" ht="30" customHeight="1">
      <c r="A114" s="6">
        <v>112</v>
      </c>
      <c r="B114" s="9"/>
      <c r="C114" s="6" t="str">
        <f>"陈爱姣"</f>
        <v>陈爱姣</v>
      </c>
      <c r="D114" s="6" t="str">
        <f t="shared" si="49"/>
        <v>女</v>
      </c>
      <c r="E114" s="6" t="str">
        <f>"1994-02-01"</f>
        <v>1994-02-01</v>
      </c>
      <c r="F114" s="6" t="s">
        <v>54</v>
      </c>
      <c r="G114" s="6" t="str">
        <f t="shared" si="35"/>
        <v>本科</v>
      </c>
      <c r="H114" s="6" t="str">
        <f t="shared" si="46"/>
        <v>学士</v>
      </c>
      <c r="I114" s="6" t="str">
        <f aca="true" t="shared" si="51" ref="I114:I119">"东北师范大学人文学院"</f>
        <v>东北师范大学人文学院</v>
      </c>
      <c r="J114" s="6" t="str">
        <f>"护理学"</f>
        <v>护理学</v>
      </c>
      <c r="K114" s="6" t="s">
        <v>19</v>
      </c>
      <c r="L114" s="10" t="s">
        <v>45</v>
      </c>
      <c r="M114" s="6"/>
    </row>
    <row r="115" spans="1:13" ht="30" customHeight="1">
      <c r="A115" s="6">
        <v>113</v>
      </c>
      <c r="B115" s="9"/>
      <c r="C115" s="6" t="str">
        <f>"骆丽花"</f>
        <v>骆丽花</v>
      </c>
      <c r="D115" s="6" t="str">
        <f t="shared" si="49"/>
        <v>女</v>
      </c>
      <c r="E115" s="6" t="str">
        <f>"1995-11-20"</f>
        <v>1995-11-20</v>
      </c>
      <c r="F115" s="6" t="s">
        <v>46</v>
      </c>
      <c r="G115" s="6" t="str">
        <f t="shared" si="35"/>
        <v>本科</v>
      </c>
      <c r="H115" s="6" t="str">
        <f t="shared" si="46"/>
        <v>学士</v>
      </c>
      <c r="I115" s="6" t="str">
        <f t="shared" si="51"/>
        <v>东北师范大学人文学院</v>
      </c>
      <c r="J115" s="6" t="str">
        <f t="shared" si="50"/>
        <v>护理学</v>
      </c>
      <c r="K115" s="6" t="s">
        <v>19</v>
      </c>
      <c r="L115" s="10" t="s">
        <v>45</v>
      </c>
      <c r="M115" s="6"/>
    </row>
    <row r="116" spans="1:13" ht="30" customHeight="1">
      <c r="A116" s="6">
        <v>114</v>
      </c>
      <c r="B116" s="9"/>
      <c r="C116" s="6" t="str">
        <f>"鲁月"</f>
        <v>鲁月</v>
      </c>
      <c r="D116" s="6" t="str">
        <f t="shared" si="49"/>
        <v>女</v>
      </c>
      <c r="E116" s="6" t="str">
        <f>"1995-09-26"</f>
        <v>1995-09-26</v>
      </c>
      <c r="F116" s="6" t="str">
        <f>"黑龙江省依兰县"</f>
        <v>黑龙江省依兰县</v>
      </c>
      <c r="G116" s="6" t="str">
        <f t="shared" si="35"/>
        <v>本科</v>
      </c>
      <c r="H116" s="6" t="str">
        <f t="shared" si="46"/>
        <v>学士</v>
      </c>
      <c r="I116" s="6" t="str">
        <f>"黑龙江中医药大学"</f>
        <v>黑龙江中医药大学</v>
      </c>
      <c r="J116" s="6" t="str">
        <f t="shared" si="50"/>
        <v>护理学</v>
      </c>
      <c r="K116" s="6" t="s">
        <v>19</v>
      </c>
      <c r="L116" s="10" t="s">
        <v>45</v>
      </c>
      <c r="M116" s="6"/>
    </row>
    <row r="117" spans="1:13" ht="30" customHeight="1">
      <c r="A117" s="6">
        <v>115</v>
      </c>
      <c r="B117" s="9"/>
      <c r="C117" s="6" t="str">
        <f>"李微玉"</f>
        <v>李微玉</v>
      </c>
      <c r="D117" s="6" t="str">
        <f t="shared" si="49"/>
        <v>女</v>
      </c>
      <c r="E117" s="6" t="str">
        <f>"1995-11-20"</f>
        <v>1995-11-20</v>
      </c>
      <c r="F117" s="6" t="str">
        <f>"海南省儋州市"</f>
        <v>海南省儋州市</v>
      </c>
      <c r="G117" s="6" t="str">
        <f t="shared" si="35"/>
        <v>本科</v>
      </c>
      <c r="H117" s="6" t="str">
        <f t="shared" si="46"/>
        <v>学士</v>
      </c>
      <c r="I117" s="6" t="str">
        <f>"江西科技学院"</f>
        <v>江西科技学院</v>
      </c>
      <c r="J117" s="6" t="str">
        <f aca="true" t="shared" si="52" ref="J117:J120">"护理学"</f>
        <v>护理学</v>
      </c>
      <c r="K117" s="6" t="s">
        <v>19</v>
      </c>
      <c r="L117" s="10" t="s">
        <v>45</v>
      </c>
      <c r="M117" s="6"/>
    </row>
    <row r="118" spans="1:13" ht="30" customHeight="1">
      <c r="A118" s="6">
        <v>116</v>
      </c>
      <c r="B118" s="9"/>
      <c r="C118" s="6" t="str">
        <f>"黄金萍"</f>
        <v>黄金萍</v>
      </c>
      <c r="D118" s="6" t="str">
        <f t="shared" si="49"/>
        <v>女</v>
      </c>
      <c r="E118" s="6" t="str">
        <f>"1998-04-22"</f>
        <v>1998-04-22</v>
      </c>
      <c r="F118" s="6" t="str">
        <f>"广西省梧州市"</f>
        <v>广西省梧州市</v>
      </c>
      <c r="G118" s="6" t="str">
        <f t="shared" si="35"/>
        <v>本科</v>
      </c>
      <c r="H118" s="6" t="str">
        <f t="shared" si="46"/>
        <v>学士</v>
      </c>
      <c r="I118" s="6" t="str">
        <f>"江西科技学院"</f>
        <v>江西科技学院</v>
      </c>
      <c r="J118" s="6" t="str">
        <f t="shared" si="52"/>
        <v>护理学</v>
      </c>
      <c r="K118" s="6" t="s">
        <v>19</v>
      </c>
      <c r="L118" s="10" t="s">
        <v>45</v>
      </c>
      <c r="M118" s="6"/>
    </row>
    <row r="119" spans="1:13" ht="30" customHeight="1">
      <c r="A119" s="6">
        <v>117</v>
      </c>
      <c r="B119" s="9"/>
      <c r="C119" s="6" t="str">
        <f>"符保丹"</f>
        <v>符保丹</v>
      </c>
      <c r="D119" s="6" t="str">
        <f t="shared" si="49"/>
        <v>女</v>
      </c>
      <c r="E119" s="6" t="str">
        <f>"1997-08-21"</f>
        <v>1997-08-21</v>
      </c>
      <c r="F119" s="6" t="s">
        <v>54</v>
      </c>
      <c r="G119" s="6" t="str">
        <f t="shared" si="35"/>
        <v>本科</v>
      </c>
      <c r="H119" s="6" t="str">
        <f t="shared" si="46"/>
        <v>学士</v>
      </c>
      <c r="I119" s="6" t="str">
        <f t="shared" si="51"/>
        <v>东北师范大学人文学院</v>
      </c>
      <c r="J119" s="6" t="str">
        <f t="shared" si="52"/>
        <v>护理学</v>
      </c>
      <c r="K119" s="6" t="s">
        <v>19</v>
      </c>
      <c r="L119" s="10" t="s">
        <v>45</v>
      </c>
      <c r="M119" s="6"/>
    </row>
    <row r="120" spans="1:13" ht="30" customHeight="1">
      <c r="A120" s="6">
        <v>118</v>
      </c>
      <c r="B120" s="9"/>
      <c r="C120" s="6" t="str">
        <f>"李林风"</f>
        <v>李林风</v>
      </c>
      <c r="D120" s="6" t="str">
        <f t="shared" si="49"/>
        <v>女</v>
      </c>
      <c r="E120" s="6" t="str">
        <f>"1995-08-08"</f>
        <v>1995-08-08</v>
      </c>
      <c r="F120" s="6" t="s">
        <v>54</v>
      </c>
      <c r="G120" s="6" t="str">
        <f t="shared" si="35"/>
        <v>本科</v>
      </c>
      <c r="H120" s="6" t="str">
        <f t="shared" si="46"/>
        <v>学士</v>
      </c>
      <c r="I120" s="6" t="str">
        <f>"遵义医科大学"</f>
        <v>遵义医科大学</v>
      </c>
      <c r="J120" s="6" t="str">
        <f t="shared" si="52"/>
        <v>护理学</v>
      </c>
      <c r="K120" s="6" t="s">
        <v>19</v>
      </c>
      <c r="L120" s="10" t="s">
        <v>45</v>
      </c>
      <c r="M120" s="6"/>
    </row>
    <row r="121" spans="1:13" ht="30" customHeight="1">
      <c r="A121" s="6">
        <v>119</v>
      </c>
      <c r="B121" s="9"/>
      <c r="C121" s="6" t="str">
        <f>"刘翠竹"</f>
        <v>刘翠竹</v>
      </c>
      <c r="D121" s="6" t="str">
        <f t="shared" si="49"/>
        <v>女</v>
      </c>
      <c r="E121" s="6" t="str">
        <f>"1997-05-19"</f>
        <v>1997-05-19</v>
      </c>
      <c r="F121" s="6" t="s">
        <v>46</v>
      </c>
      <c r="G121" s="6" t="str">
        <f t="shared" si="35"/>
        <v>本科</v>
      </c>
      <c r="H121" s="6" t="str">
        <f t="shared" si="46"/>
        <v>学士</v>
      </c>
      <c r="I121" s="6" t="str">
        <f>"武汉科技大学城市学院"</f>
        <v>武汉科技大学城市学院</v>
      </c>
      <c r="J121" s="6" t="str">
        <f>"护理学"</f>
        <v>护理学</v>
      </c>
      <c r="K121" s="6" t="s">
        <v>19</v>
      </c>
      <c r="L121" s="10" t="s">
        <v>45</v>
      </c>
      <c r="M121" s="6"/>
    </row>
    <row r="122" spans="1:13" ht="30" customHeight="1">
      <c r="A122" s="6">
        <v>120</v>
      </c>
      <c r="B122" s="9"/>
      <c r="C122" s="6" t="str">
        <f>"陈光月"</f>
        <v>陈光月</v>
      </c>
      <c r="D122" s="6" t="str">
        <f t="shared" si="49"/>
        <v>女</v>
      </c>
      <c r="E122" s="6" t="str">
        <f>"1994-06-11"</f>
        <v>1994-06-11</v>
      </c>
      <c r="F122" s="6" t="s">
        <v>46</v>
      </c>
      <c r="G122" s="6" t="str">
        <f t="shared" si="35"/>
        <v>本科</v>
      </c>
      <c r="H122" s="6" t="str">
        <f t="shared" si="46"/>
        <v>学士</v>
      </c>
      <c r="I122" s="6" t="str">
        <f>"山西中医药大学"</f>
        <v>山西中医药大学</v>
      </c>
      <c r="J122" s="6" t="str">
        <f aca="true" t="shared" si="53" ref="J122:J129">"护理学"</f>
        <v>护理学</v>
      </c>
      <c r="K122" s="6" t="s">
        <v>19</v>
      </c>
      <c r="L122" s="10" t="s">
        <v>45</v>
      </c>
      <c r="M122" s="6"/>
    </row>
    <row r="123" spans="1:13" ht="30" customHeight="1">
      <c r="A123" s="6">
        <v>121</v>
      </c>
      <c r="B123" s="9"/>
      <c r="C123" s="6" t="str">
        <f>"孙少红"</f>
        <v>孙少红</v>
      </c>
      <c r="D123" s="6" t="str">
        <f t="shared" si="49"/>
        <v>女</v>
      </c>
      <c r="E123" s="6" t="str">
        <f>"1996-01-14"</f>
        <v>1996-01-14</v>
      </c>
      <c r="F123" s="6" t="s">
        <v>39</v>
      </c>
      <c r="G123" s="6" t="str">
        <f t="shared" si="35"/>
        <v>本科</v>
      </c>
      <c r="H123" s="6" t="str">
        <f t="shared" si="46"/>
        <v>学士</v>
      </c>
      <c r="I123" s="6" t="str">
        <f>"长沙医学院"</f>
        <v>长沙医学院</v>
      </c>
      <c r="J123" s="6" t="str">
        <f t="shared" si="53"/>
        <v>护理学</v>
      </c>
      <c r="K123" s="6" t="s">
        <v>19</v>
      </c>
      <c r="L123" s="10" t="s">
        <v>45</v>
      </c>
      <c r="M123" s="6"/>
    </row>
    <row r="124" spans="1:13" ht="30" customHeight="1">
      <c r="A124" s="6">
        <v>122</v>
      </c>
      <c r="B124" s="9"/>
      <c r="C124" s="6" t="str">
        <f>"李香"</f>
        <v>李香</v>
      </c>
      <c r="D124" s="6" t="str">
        <f t="shared" si="49"/>
        <v>女</v>
      </c>
      <c r="E124" s="6" t="str">
        <f>"1992-05-13"</f>
        <v>1992-05-13</v>
      </c>
      <c r="F124" s="6" t="str">
        <f>"海南省万宁市"</f>
        <v>海南省万宁市</v>
      </c>
      <c r="G124" s="6" t="str">
        <f t="shared" si="35"/>
        <v>本科</v>
      </c>
      <c r="H124" s="6" t="str">
        <f t="shared" si="46"/>
        <v>学士</v>
      </c>
      <c r="I124" s="6" t="str">
        <f>"长沙医学院"</f>
        <v>长沙医学院</v>
      </c>
      <c r="J124" s="6" t="str">
        <f>"护理学"</f>
        <v>护理学</v>
      </c>
      <c r="K124" s="6" t="s">
        <v>19</v>
      </c>
      <c r="L124" s="10" t="s">
        <v>45</v>
      </c>
      <c r="M124" s="6"/>
    </row>
    <row r="125" spans="1:13" ht="30" customHeight="1">
      <c r="A125" s="6">
        <v>123</v>
      </c>
      <c r="B125" s="9"/>
      <c r="C125" s="6" t="str">
        <f>"王芳香"</f>
        <v>王芳香</v>
      </c>
      <c r="D125" s="6" t="str">
        <f t="shared" si="49"/>
        <v>女</v>
      </c>
      <c r="E125" s="6" t="str">
        <f>"1995-03-18"</f>
        <v>1995-03-18</v>
      </c>
      <c r="F125" s="6" t="str">
        <f aca="true" t="shared" si="54" ref="F125:F130">"海南省儋州市"</f>
        <v>海南省儋州市</v>
      </c>
      <c r="G125" s="6" t="str">
        <f t="shared" si="35"/>
        <v>本科</v>
      </c>
      <c r="H125" s="6" t="str">
        <f t="shared" si="46"/>
        <v>学士</v>
      </c>
      <c r="I125" s="6" t="str">
        <f>"郑州工业应用技术学院"</f>
        <v>郑州工业应用技术学院</v>
      </c>
      <c r="J125" s="6" t="str">
        <f t="shared" si="53"/>
        <v>护理学</v>
      </c>
      <c r="K125" s="6" t="s">
        <v>19</v>
      </c>
      <c r="L125" s="10" t="s">
        <v>45</v>
      </c>
      <c r="M125" s="6"/>
    </row>
    <row r="126" spans="1:13" ht="30" customHeight="1">
      <c r="A126" s="6">
        <v>124</v>
      </c>
      <c r="B126" s="9"/>
      <c r="C126" s="6" t="str">
        <f>"邵丽"</f>
        <v>邵丽</v>
      </c>
      <c r="D126" s="6" t="str">
        <f t="shared" si="49"/>
        <v>女</v>
      </c>
      <c r="E126" s="6" t="str">
        <f>"1995-04-15"</f>
        <v>1995-04-15</v>
      </c>
      <c r="F126" s="6" t="str">
        <f>"甘肃会宁"</f>
        <v>甘肃会宁</v>
      </c>
      <c r="G126" s="6" t="str">
        <f t="shared" si="35"/>
        <v>本科</v>
      </c>
      <c r="H126" s="6" t="str">
        <f t="shared" si="46"/>
        <v>学士</v>
      </c>
      <c r="I126" s="6" t="str">
        <f>"河西学院"</f>
        <v>河西学院</v>
      </c>
      <c r="J126" s="6" t="str">
        <f t="shared" si="53"/>
        <v>护理学</v>
      </c>
      <c r="K126" s="6" t="s">
        <v>19</v>
      </c>
      <c r="L126" s="10" t="s">
        <v>45</v>
      </c>
      <c r="M126" s="6"/>
    </row>
    <row r="127" spans="1:13" ht="30" customHeight="1">
      <c r="A127" s="6">
        <v>125</v>
      </c>
      <c r="B127" s="9"/>
      <c r="C127" s="6" t="str">
        <f>"李霞灵"</f>
        <v>李霞灵</v>
      </c>
      <c r="D127" s="6" t="str">
        <f t="shared" si="49"/>
        <v>女</v>
      </c>
      <c r="E127" s="6" t="str">
        <f>"1994-08-24"</f>
        <v>1994-08-24</v>
      </c>
      <c r="F127" s="6" t="s">
        <v>47</v>
      </c>
      <c r="G127" s="6" t="str">
        <f t="shared" si="35"/>
        <v>本科</v>
      </c>
      <c r="H127" s="6" t="str">
        <f t="shared" si="46"/>
        <v>学士</v>
      </c>
      <c r="I127" s="6" t="str">
        <f>"山西医科大学汾阳学院"</f>
        <v>山西医科大学汾阳学院</v>
      </c>
      <c r="J127" s="6" t="str">
        <f t="shared" si="53"/>
        <v>护理学</v>
      </c>
      <c r="K127" s="6" t="s">
        <v>19</v>
      </c>
      <c r="L127" s="10" t="s">
        <v>45</v>
      </c>
      <c r="M127" s="6"/>
    </row>
    <row r="128" spans="1:13" ht="30" customHeight="1">
      <c r="A128" s="6">
        <v>126</v>
      </c>
      <c r="B128" s="9"/>
      <c r="C128" s="6" t="str">
        <f>"叶晓勇"</f>
        <v>叶晓勇</v>
      </c>
      <c r="D128" s="6" t="str">
        <f>"男"</f>
        <v>男</v>
      </c>
      <c r="E128" s="6" t="str">
        <f>"1996-04-09"</f>
        <v>1996-04-09</v>
      </c>
      <c r="F128" s="6" t="str">
        <f>"江西省赣州市"</f>
        <v>江西省赣州市</v>
      </c>
      <c r="G128" s="6" t="str">
        <f t="shared" si="35"/>
        <v>本科</v>
      </c>
      <c r="H128" s="6" t="str">
        <f>"无"</f>
        <v>无</v>
      </c>
      <c r="I128" s="6" t="str">
        <f>"赣南医学院"</f>
        <v>赣南医学院</v>
      </c>
      <c r="J128" s="6" t="str">
        <f t="shared" si="53"/>
        <v>护理学</v>
      </c>
      <c r="K128" s="6" t="s">
        <v>19</v>
      </c>
      <c r="L128" s="10" t="s">
        <v>45</v>
      </c>
      <c r="M128" s="6"/>
    </row>
    <row r="129" spans="1:13" ht="30" customHeight="1">
      <c r="A129" s="6">
        <v>127</v>
      </c>
      <c r="B129" s="9"/>
      <c r="C129" s="6" t="str">
        <f>"高桂梅"</f>
        <v>高桂梅</v>
      </c>
      <c r="D129" s="6" t="str">
        <f aca="true" t="shared" si="55" ref="D129:D142">"女"</f>
        <v>女</v>
      </c>
      <c r="E129" s="6" t="str">
        <f>"1996-09-14"</f>
        <v>1996-09-14</v>
      </c>
      <c r="F129" s="6" t="str">
        <f t="shared" si="54"/>
        <v>海南省儋州市</v>
      </c>
      <c r="G129" s="6" t="str">
        <f t="shared" si="35"/>
        <v>本科</v>
      </c>
      <c r="H129" s="6" t="str">
        <f aca="true" t="shared" si="56" ref="H129:H148">"学士"</f>
        <v>学士</v>
      </c>
      <c r="I129" s="6" t="str">
        <f>"长沙医学院"</f>
        <v>长沙医学院</v>
      </c>
      <c r="J129" s="6" t="str">
        <f t="shared" si="53"/>
        <v>护理学</v>
      </c>
      <c r="K129" s="6" t="s">
        <v>19</v>
      </c>
      <c r="L129" s="10" t="s">
        <v>45</v>
      </c>
      <c r="M129" s="6"/>
    </row>
    <row r="130" spans="1:13" ht="30" customHeight="1">
      <c r="A130" s="6">
        <v>128</v>
      </c>
      <c r="B130" s="9"/>
      <c r="C130" s="6" t="str">
        <f>"麦泉楼"</f>
        <v>麦泉楼</v>
      </c>
      <c r="D130" s="6" t="str">
        <f t="shared" si="55"/>
        <v>女</v>
      </c>
      <c r="E130" s="6" t="str">
        <f>"1994-12-11"</f>
        <v>1994-12-11</v>
      </c>
      <c r="F130" s="6" t="str">
        <f t="shared" si="54"/>
        <v>海南省儋州市</v>
      </c>
      <c r="G130" s="6" t="str">
        <f t="shared" si="35"/>
        <v>本科</v>
      </c>
      <c r="H130" s="6" t="str">
        <f t="shared" si="56"/>
        <v>学士</v>
      </c>
      <c r="I130" s="6" t="str">
        <f>"长沙医学院"</f>
        <v>长沙医学院</v>
      </c>
      <c r="J130" s="6" t="str">
        <f aca="true" t="shared" si="57" ref="J130:J135">"护理学"</f>
        <v>护理学</v>
      </c>
      <c r="K130" s="6" t="s">
        <v>19</v>
      </c>
      <c r="L130" s="10" t="s">
        <v>45</v>
      </c>
      <c r="M130" s="6"/>
    </row>
    <row r="131" spans="1:13" ht="30" customHeight="1">
      <c r="A131" s="6">
        <v>129</v>
      </c>
      <c r="B131" s="9"/>
      <c r="C131" s="6" t="str">
        <f>"陈婷满"</f>
        <v>陈婷满</v>
      </c>
      <c r="D131" s="6" t="str">
        <f t="shared" si="55"/>
        <v>女</v>
      </c>
      <c r="E131" s="6" t="str">
        <f>"1995-08-25"</f>
        <v>1995-08-25</v>
      </c>
      <c r="F131" s="6" t="s">
        <v>39</v>
      </c>
      <c r="G131" s="6" t="str">
        <f t="shared" si="35"/>
        <v>本科</v>
      </c>
      <c r="H131" s="6" t="str">
        <f t="shared" si="56"/>
        <v>学士</v>
      </c>
      <c r="I131" s="6" t="str">
        <f>"郑州工业应用技术学院"</f>
        <v>郑州工业应用技术学院</v>
      </c>
      <c r="J131" s="6" t="str">
        <f t="shared" si="57"/>
        <v>护理学</v>
      </c>
      <c r="K131" s="6" t="s">
        <v>19</v>
      </c>
      <c r="L131" s="10" t="s">
        <v>45</v>
      </c>
      <c r="M131" s="6"/>
    </row>
    <row r="132" spans="1:13" ht="30" customHeight="1">
      <c r="A132" s="6">
        <v>130</v>
      </c>
      <c r="B132" s="9"/>
      <c r="C132" s="6" t="str">
        <f>"陈林冰"</f>
        <v>陈林冰</v>
      </c>
      <c r="D132" s="6" t="str">
        <f t="shared" si="55"/>
        <v>女</v>
      </c>
      <c r="E132" s="6" t="str">
        <f>"1994-07-27"</f>
        <v>1994-07-27</v>
      </c>
      <c r="F132" s="6" t="s">
        <v>25</v>
      </c>
      <c r="G132" s="6" t="str">
        <f t="shared" si="35"/>
        <v>本科</v>
      </c>
      <c r="H132" s="6" t="str">
        <f t="shared" si="56"/>
        <v>学士</v>
      </c>
      <c r="I132" s="6" t="str">
        <f>"延边大学"</f>
        <v>延边大学</v>
      </c>
      <c r="J132" s="6" t="str">
        <f t="shared" si="57"/>
        <v>护理学</v>
      </c>
      <c r="K132" s="6" t="s">
        <v>19</v>
      </c>
      <c r="L132" s="10" t="s">
        <v>45</v>
      </c>
      <c r="M132" s="6"/>
    </row>
    <row r="133" spans="1:13" ht="30" customHeight="1">
      <c r="A133" s="6">
        <v>131</v>
      </c>
      <c r="B133" s="9"/>
      <c r="C133" s="6" t="str">
        <f>"王有蓉"</f>
        <v>王有蓉</v>
      </c>
      <c r="D133" s="6" t="str">
        <f t="shared" si="55"/>
        <v>女</v>
      </c>
      <c r="E133" s="6" t="str">
        <f>"1994-03-10"</f>
        <v>1994-03-10</v>
      </c>
      <c r="F133" s="6" t="s">
        <v>46</v>
      </c>
      <c r="G133" s="6" t="str">
        <f aca="true" t="shared" si="58" ref="G133:G151">"本科"</f>
        <v>本科</v>
      </c>
      <c r="H133" s="6" t="str">
        <f t="shared" si="56"/>
        <v>学士</v>
      </c>
      <c r="I133" s="6" t="str">
        <f>"河北外国语学院"</f>
        <v>河北外国语学院</v>
      </c>
      <c r="J133" s="6" t="str">
        <f t="shared" si="57"/>
        <v>护理学</v>
      </c>
      <c r="K133" s="6" t="s">
        <v>19</v>
      </c>
      <c r="L133" s="10" t="s">
        <v>45</v>
      </c>
      <c r="M133" s="6"/>
    </row>
    <row r="134" spans="1:13" ht="30" customHeight="1">
      <c r="A134" s="6">
        <v>132</v>
      </c>
      <c r="B134" s="9"/>
      <c r="C134" s="6" t="str">
        <f>"曾兆双"</f>
        <v>曾兆双</v>
      </c>
      <c r="D134" s="6" t="str">
        <f t="shared" si="55"/>
        <v>女</v>
      </c>
      <c r="E134" s="6" t="str">
        <f>"1993-11-20"</f>
        <v>1993-11-20</v>
      </c>
      <c r="F134" s="6" t="s">
        <v>46</v>
      </c>
      <c r="G134" s="6" t="str">
        <f t="shared" si="58"/>
        <v>本科</v>
      </c>
      <c r="H134" s="6" t="str">
        <f t="shared" si="56"/>
        <v>学士</v>
      </c>
      <c r="I134" s="6" t="str">
        <f>"北京中医药大学东方学院"</f>
        <v>北京中医药大学东方学院</v>
      </c>
      <c r="J134" s="6" t="str">
        <f t="shared" si="57"/>
        <v>护理学</v>
      </c>
      <c r="K134" s="6" t="s">
        <v>19</v>
      </c>
      <c r="L134" s="10" t="s">
        <v>45</v>
      </c>
      <c r="M134" s="6"/>
    </row>
    <row r="135" spans="1:13" ht="30" customHeight="1">
      <c r="A135" s="6">
        <v>133</v>
      </c>
      <c r="B135" s="9"/>
      <c r="C135" s="6" t="str">
        <f>"林英兰"</f>
        <v>林英兰</v>
      </c>
      <c r="D135" s="6" t="str">
        <f t="shared" si="55"/>
        <v>女</v>
      </c>
      <c r="E135" s="6" t="str">
        <f>"1996-05-28"</f>
        <v>1996-05-28</v>
      </c>
      <c r="F135" s="6" t="s">
        <v>25</v>
      </c>
      <c r="G135" s="6" t="str">
        <f t="shared" si="58"/>
        <v>本科</v>
      </c>
      <c r="H135" s="6" t="str">
        <f t="shared" si="56"/>
        <v>学士</v>
      </c>
      <c r="I135" s="6" t="str">
        <f>"郑州工业应用技术学院"</f>
        <v>郑州工业应用技术学院</v>
      </c>
      <c r="J135" s="6" t="str">
        <f t="shared" si="57"/>
        <v>护理学</v>
      </c>
      <c r="K135" s="6" t="s">
        <v>19</v>
      </c>
      <c r="L135" s="10" t="s">
        <v>45</v>
      </c>
      <c r="M135" s="6"/>
    </row>
    <row r="136" spans="1:13" ht="30" customHeight="1">
      <c r="A136" s="6">
        <v>134</v>
      </c>
      <c r="B136" s="9"/>
      <c r="C136" s="6" t="str">
        <f>"周佳佳"</f>
        <v>周佳佳</v>
      </c>
      <c r="D136" s="6" t="str">
        <f t="shared" si="55"/>
        <v>女</v>
      </c>
      <c r="E136" s="6" t="str">
        <f>"1997-07-25"</f>
        <v>1997-07-25</v>
      </c>
      <c r="F136" s="6" t="str">
        <f>"海南省琼海市"</f>
        <v>海南省琼海市</v>
      </c>
      <c r="G136" s="6" t="str">
        <f t="shared" si="58"/>
        <v>本科</v>
      </c>
      <c r="H136" s="6" t="str">
        <f t="shared" si="56"/>
        <v>学士</v>
      </c>
      <c r="I136" s="6" t="str">
        <f>"河南科技大学"</f>
        <v>河南科技大学</v>
      </c>
      <c r="J136" s="6" t="str">
        <f aca="true" t="shared" si="59" ref="J136:J148">"护理学"</f>
        <v>护理学</v>
      </c>
      <c r="K136" s="6" t="str">
        <f aca="true" t="shared" si="60" ref="K136:K145">"初级"</f>
        <v>初级</v>
      </c>
      <c r="L136" s="10" t="s">
        <v>45</v>
      </c>
      <c r="M136" s="6"/>
    </row>
    <row r="137" spans="1:13" ht="30" customHeight="1">
      <c r="A137" s="6">
        <v>135</v>
      </c>
      <c r="B137" s="9"/>
      <c r="C137" s="6" t="str">
        <f>"黎玉楼"</f>
        <v>黎玉楼</v>
      </c>
      <c r="D137" s="6" t="str">
        <f t="shared" si="55"/>
        <v>女</v>
      </c>
      <c r="E137" s="6" t="str">
        <f>"1995-07-10"</f>
        <v>1995-07-10</v>
      </c>
      <c r="F137" s="6" t="s">
        <v>46</v>
      </c>
      <c r="G137" s="6" t="str">
        <f t="shared" si="58"/>
        <v>本科</v>
      </c>
      <c r="H137" s="6" t="str">
        <f t="shared" si="56"/>
        <v>学士</v>
      </c>
      <c r="I137" s="6" t="str">
        <f>"华北理工大学"</f>
        <v>华北理工大学</v>
      </c>
      <c r="J137" s="6" t="str">
        <f t="shared" si="59"/>
        <v>护理学</v>
      </c>
      <c r="K137" s="6" t="str">
        <f t="shared" si="60"/>
        <v>初级</v>
      </c>
      <c r="L137" s="10" t="s">
        <v>45</v>
      </c>
      <c r="M137" s="6"/>
    </row>
    <row r="138" spans="1:13" ht="30" customHeight="1">
      <c r="A138" s="6">
        <v>136</v>
      </c>
      <c r="B138" s="9"/>
      <c r="C138" s="6" t="str">
        <f>"李海影"</f>
        <v>李海影</v>
      </c>
      <c r="D138" s="6" t="str">
        <f t="shared" si="55"/>
        <v>女</v>
      </c>
      <c r="E138" s="6" t="str">
        <f>"1992-01-19"</f>
        <v>1992-01-19</v>
      </c>
      <c r="F138" s="6" t="s">
        <v>71</v>
      </c>
      <c r="G138" s="6" t="str">
        <f t="shared" si="58"/>
        <v>本科</v>
      </c>
      <c r="H138" s="6" t="str">
        <f t="shared" si="56"/>
        <v>学士</v>
      </c>
      <c r="I138" s="6" t="str">
        <f>"遵义医学院珠海校区"</f>
        <v>遵义医学院珠海校区</v>
      </c>
      <c r="J138" s="6" t="str">
        <f t="shared" si="59"/>
        <v>护理学</v>
      </c>
      <c r="K138" s="6" t="str">
        <f t="shared" si="60"/>
        <v>初级</v>
      </c>
      <c r="L138" s="10" t="s">
        <v>45</v>
      </c>
      <c r="M138" s="6"/>
    </row>
    <row r="139" spans="1:13" ht="30" customHeight="1">
      <c r="A139" s="6">
        <v>137</v>
      </c>
      <c r="B139" s="9"/>
      <c r="C139" s="6" t="str">
        <f>"符海丽"</f>
        <v>符海丽</v>
      </c>
      <c r="D139" s="6" t="str">
        <f t="shared" si="55"/>
        <v>女</v>
      </c>
      <c r="E139" s="6" t="str">
        <f>"1999-08-05"</f>
        <v>1999-08-05</v>
      </c>
      <c r="F139" s="6" t="str">
        <f>"海南省儋州市"</f>
        <v>海南省儋州市</v>
      </c>
      <c r="G139" s="6" t="str">
        <f t="shared" si="58"/>
        <v>本科</v>
      </c>
      <c r="H139" s="6" t="str">
        <f t="shared" si="56"/>
        <v>学士</v>
      </c>
      <c r="I139" s="6" t="str">
        <f>"郑州工业应用技术学院"</f>
        <v>郑州工业应用技术学院</v>
      </c>
      <c r="J139" s="6" t="str">
        <f t="shared" si="59"/>
        <v>护理学</v>
      </c>
      <c r="K139" s="6" t="str">
        <f t="shared" si="60"/>
        <v>初级</v>
      </c>
      <c r="L139" s="10" t="s">
        <v>45</v>
      </c>
      <c r="M139" s="6"/>
    </row>
    <row r="140" spans="1:13" ht="30" customHeight="1">
      <c r="A140" s="6">
        <v>138</v>
      </c>
      <c r="B140" s="9"/>
      <c r="C140" s="6" t="str">
        <f>"夏学娜"</f>
        <v>夏学娜</v>
      </c>
      <c r="D140" s="6" t="str">
        <f t="shared" si="55"/>
        <v>女</v>
      </c>
      <c r="E140" s="6" t="str">
        <f>"1997-09-10"</f>
        <v>1997-09-10</v>
      </c>
      <c r="F140" s="6" t="s">
        <v>39</v>
      </c>
      <c r="G140" s="6" t="str">
        <f t="shared" si="58"/>
        <v>本科</v>
      </c>
      <c r="H140" s="6" t="str">
        <f t="shared" si="56"/>
        <v>学士</v>
      </c>
      <c r="I140" s="6" t="str">
        <f>"河北东方学院"</f>
        <v>河北东方学院</v>
      </c>
      <c r="J140" s="6" t="str">
        <f t="shared" si="59"/>
        <v>护理学</v>
      </c>
      <c r="K140" s="6" t="str">
        <f t="shared" si="60"/>
        <v>初级</v>
      </c>
      <c r="L140" s="10" t="s">
        <v>45</v>
      </c>
      <c r="M140" s="6"/>
    </row>
    <row r="141" spans="1:13" ht="30" customHeight="1">
      <c r="A141" s="6">
        <v>139</v>
      </c>
      <c r="B141" s="9"/>
      <c r="C141" s="6" t="str">
        <f>"肖青霞"</f>
        <v>肖青霞</v>
      </c>
      <c r="D141" s="6" t="str">
        <f t="shared" si="55"/>
        <v>女</v>
      </c>
      <c r="E141" s="6" t="str">
        <f>"1995-02-10"</f>
        <v>1995-02-10</v>
      </c>
      <c r="F141" s="6" t="s">
        <v>49</v>
      </c>
      <c r="G141" s="6" t="str">
        <f t="shared" si="58"/>
        <v>本科</v>
      </c>
      <c r="H141" s="6" t="str">
        <f t="shared" si="56"/>
        <v>学士</v>
      </c>
      <c r="I141" s="6" t="str">
        <f>"长沙医学院"</f>
        <v>长沙医学院</v>
      </c>
      <c r="J141" s="6" t="str">
        <f t="shared" si="59"/>
        <v>护理学</v>
      </c>
      <c r="K141" s="6" t="str">
        <f t="shared" si="60"/>
        <v>初级</v>
      </c>
      <c r="L141" s="10" t="s">
        <v>45</v>
      </c>
      <c r="M141" s="6"/>
    </row>
    <row r="142" spans="1:13" ht="30" customHeight="1">
      <c r="A142" s="6">
        <v>140</v>
      </c>
      <c r="B142" s="9"/>
      <c r="C142" s="6" t="str">
        <f>"陈玉芳"</f>
        <v>陈玉芳</v>
      </c>
      <c r="D142" s="6" t="str">
        <f t="shared" si="55"/>
        <v>女</v>
      </c>
      <c r="E142" s="6" t="str">
        <f>"1999-03-31"</f>
        <v>1999-03-31</v>
      </c>
      <c r="F142" s="6" t="s">
        <v>54</v>
      </c>
      <c r="G142" s="6" t="str">
        <f t="shared" si="58"/>
        <v>本科</v>
      </c>
      <c r="H142" s="6" t="str">
        <f t="shared" si="56"/>
        <v>学士</v>
      </c>
      <c r="I142" s="6" t="str">
        <f>"右江民族医学院"</f>
        <v>右江民族医学院</v>
      </c>
      <c r="J142" s="6" t="str">
        <f t="shared" si="59"/>
        <v>护理学</v>
      </c>
      <c r="K142" s="6" t="str">
        <f t="shared" si="60"/>
        <v>初级</v>
      </c>
      <c r="L142" s="10" t="s">
        <v>45</v>
      </c>
      <c r="M142" s="6"/>
    </row>
    <row r="143" spans="1:13" ht="30" customHeight="1">
      <c r="A143" s="6">
        <v>141</v>
      </c>
      <c r="B143" s="9"/>
      <c r="C143" s="6" t="str">
        <f>"徐鸣铭"</f>
        <v>徐鸣铭</v>
      </c>
      <c r="D143" s="6" t="str">
        <f>"男"</f>
        <v>男</v>
      </c>
      <c r="E143" s="6" t="str">
        <f>"1995-11-03"</f>
        <v>1995-11-03</v>
      </c>
      <c r="F143" s="6" t="s">
        <v>18</v>
      </c>
      <c r="G143" s="6" t="str">
        <f t="shared" si="58"/>
        <v>本科</v>
      </c>
      <c r="H143" s="6" t="str">
        <f t="shared" si="56"/>
        <v>学士</v>
      </c>
      <c r="I143" s="6" t="str">
        <f>"哈尔滨医科大学"</f>
        <v>哈尔滨医科大学</v>
      </c>
      <c r="J143" s="6" t="str">
        <f t="shared" si="59"/>
        <v>护理学</v>
      </c>
      <c r="K143" s="6" t="str">
        <f t="shared" si="60"/>
        <v>初级</v>
      </c>
      <c r="L143" s="10" t="s">
        <v>45</v>
      </c>
      <c r="M143" s="6"/>
    </row>
    <row r="144" spans="1:13" ht="30" customHeight="1">
      <c r="A144" s="6">
        <v>142</v>
      </c>
      <c r="B144" s="9"/>
      <c r="C144" s="6" t="str">
        <f>"陈红娇"</f>
        <v>陈红娇</v>
      </c>
      <c r="D144" s="6" t="str">
        <f aca="true" t="shared" si="61" ref="D144:D159">"女"</f>
        <v>女</v>
      </c>
      <c r="E144" s="6" t="str">
        <f>"1996-12-06"</f>
        <v>1996-12-06</v>
      </c>
      <c r="F144" s="6" t="str">
        <f>"海南省陵水县"</f>
        <v>海南省陵水县</v>
      </c>
      <c r="G144" s="6" t="str">
        <f t="shared" si="58"/>
        <v>本科</v>
      </c>
      <c r="H144" s="6" t="str">
        <f t="shared" si="56"/>
        <v>学士</v>
      </c>
      <c r="I144" s="6" t="str">
        <f>"北京中医药大学东方学院"</f>
        <v>北京中医药大学东方学院</v>
      </c>
      <c r="J144" s="6" t="str">
        <f t="shared" si="59"/>
        <v>护理学</v>
      </c>
      <c r="K144" s="6" t="str">
        <f t="shared" si="60"/>
        <v>初级</v>
      </c>
      <c r="L144" s="10" t="s">
        <v>45</v>
      </c>
      <c r="M144" s="6"/>
    </row>
    <row r="145" spans="1:13" ht="30" customHeight="1">
      <c r="A145" s="6">
        <v>143</v>
      </c>
      <c r="B145" s="9"/>
      <c r="C145" s="6" t="str">
        <f>"王妮"</f>
        <v>王妮</v>
      </c>
      <c r="D145" s="6" t="str">
        <f t="shared" si="61"/>
        <v>女</v>
      </c>
      <c r="E145" s="6" t="str">
        <f>"1998-05-03"</f>
        <v>1998-05-03</v>
      </c>
      <c r="F145" s="6" t="str">
        <f>"海南省澄迈县"</f>
        <v>海南省澄迈县</v>
      </c>
      <c r="G145" s="6" t="str">
        <f t="shared" si="58"/>
        <v>本科</v>
      </c>
      <c r="H145" s="6" t="str">
        <f t="shared" si="56"/>
        <v>学士</v>
      </c>
      <c r="I145" s="6" t="str">
        <f>"山东英才学院"</f>
        <v>山东英才学院</v>
      </c>
      <c r="J145" s="6" t="str">
        <f t="shared" si="59"/>
        <v>护理学</v>
      </c>
      <c r="K145" s="6" t="str">
        <f t="shared" si="60"/>
        <v>初级</v>
      </c>
      <c r="L145" s="10" t="s">
        <v>45</v>
      </c>
      <c r="M145" s="6"/>
    </row>
    <row r="146" spans="1:13" ht="30" customHeight="1">
      <c r="A146" s="6">
        <v>144</v>
      </c>
      <c r="B146" s="9"/>
      <c r="C146" s="6" t="str">
        <f>"许江珠"</f>
        <v>许江珠</v>
      </c>
      <c r="D146" s="6" t="str">
        <f t="shared" si="61"/>
        <v>女</v>
      </c>
      <c r="E146" s="6" t="str">
        <f>"1996-07-24"</f>
        <v>1996-07-24</v>
      </c>
      <c r="F146" s="6" t="s">
        <v>39</v>
      </c>
      <c r="G146" s="6" t="str">
        <f t="shared" si="58"/>
        <v>本科</v>
      </c>
      <c r="H146" s="6" t="str">
        <f t="shared" si="56"/>
        <v>学士</v>
      </c>
      <c r="I146" s="6" t="str">
        <f>"河北东方学院"</f>
        <v>河北东方学院</v>
      </c>
      <c r="J146" s="6" t="str">
        <f t="shared" si="59"/>
        <v>护理学</v>
      </c>
      <c r="K146" s="6" t="s">
        <v>19</v>
      </c>
      <c r="L146" s="10" t="s">
        <v>45</v>
      </c>
      <c r="M146" s="6"/>
    </row>
    <row r="147" spans="1:13" ht="30" customHeight="1">
      <c r="A147" s="6">
        <v>145</v>
      </c>
      <c r="B147" s="9"/>
      <c r="C147" s="6" t="str">
        <f>"周琼杏"</f>
        <v>周琼杏</v>
      </c>
      <c r="D147" s="6" t="str">
        <f t="shared" si="61"/>
        <v>女</v>
      </c>
      <c r="E147" s="6" t="str">
        <f>"1997-08-07"</f>
        <v>1997-08-07</v>
      </c>
      <c r="F147" s="6" t="s">
        <v>54</v>
      </c>
      <c r="G147" s="6" t="str">
        <f t="shared" si="58"/>
        <v>本科</v>
      </c>
      <c r="H147" s="6" t="str">
        <f t="shared" si="56"/>
        <v>学士</v>
      </c>
      <c r="I147" s="6" t="str">
        <f>"武昌理工学院"</f>
        <v>武昌理工学院</v>
      </c>
      <c r="J147" s="6" t="str">
        <f t="shared" si="59"/>
        <v>护理学</v>
      </c>
      <c r="K147" s="6" t="s">
        <v>19</v>
      </c>
      <c r="L147" s="10" t="s">
        <v>45</v>
      </c>
      <c r="M147" s="6"/>
    </row>
    <row r="148" spans="1:13" ht="30" customHeight="1">
      <c r="A148" s="6">
        <v>146</v>
      </c>
      <c r="B148" s="8"/>
      <c r="C148" s="6" t="str">
        <f>"李秋月"</f>
        <v>李秋月</v>
      </c>
      <c r="D148" s="6" t="str">
        <f t="shared" si="61"/>
        <v>女</v>
      </c>
      <c r="E148" s="6" t="str">
        <f>"1997-07-11"</f>
        <v>1997-07-11</v>
      </c>
      <c r="F148" s="6" t="str">
        <f>"吉林省农安县"</f>
        <v>吉林省农安县</v>
      </c>
      <c r="G148" s="6" t="str">
        <f t="shared" si="58"/>
        <v>本科</v>
      </c>
      <c r="H148" s="6" t="str">
        <f t="shared" si="56"/>
        <v>学士</v>
      </c>
      <c r="I148" s="6" t="str">
        <f aca="true" t="shared" si="62" ref="I148:I151">"海南医学院"</f>
        <v>海南医学院</v>
      </c>
      <c r="J148" s="6" t="str">
        <f t="shared" si="59"/>
        <v>护理学</v>
      </c>
      <c r="K148" s="6" t="s">
        <v>19</v>
      </c>
      <c r="L148" s="10" t="s">
        <v>45</v>
      </c>
      <c r="M148" s="6"/>
    </row>
    <row r="149" spans="1:13" ht="30" customHeight="1">
      <c r="A149" s="6">
        <v>147</v>
      </c>
      <c r="B149" s="7" t="s">
        <v>72</v>
      </c>
      <c r="C149" s="6" t="str">
        <f>"王利婉"</f>
        <v>王利婉</v>
      </c>
      <c r="D149" s="6" t="str">
        <f t="shared" si="61"/>
        <v>女</v>
      </c>
      <c r="E149" s="6" t="str">
        <f>"1996-10-25"</f>
        <v>1996-10-25</v>
      </c>
      <c r="F149" s="6" t="str">
        <f>"海南省东方市"</f>
        <v>海南省东方市</v>
      </c>
      <c r="G149" s="6" t="s">
        <v>73</v>
      </c>
      <c r="H149" s="6" t="str">
        <f aca="true" t="shared" si="63" ref="H149:H157">"无"</f>
        <v>无</v>
      </c>
      <c r="I149" s="6" t="str">
        <f>"山西医科大学汾阳学院"</f>
        <v>山西医科大学汾阳学院</v>
      </c>
      <c r="J149" s="6" t="str">
        <f aca="true" t="shared" si="64" ref="J149:J152">"助产"</f>
        <v>助产</v>
      </c>
      <c r="K149" s="6" t="s">
        <v>19</v>
      </c>
      <c r="L149" s="10" t="s">
        <v>45</v>
      </c>
      <c r="M149" s="6"/>
    </row>
    <row r="150" spans="1:13" ht="30" customHeight="1">
      <c r="A150" s="6">
        <v>148</v>
      </c>
      <c r="B150" s="9"/>
      <c r="C150" s="6" t="str">
        <f>"黄禹"</f>
        <v>黄禹</v>
      </c>
      <c r="D150" s="6" t="str">
        <f t="shared" si="61"/>
        <v>女</v>
      </c>
      <c r="E150" s="6" t="str">
        <f>"1999-05-26"</f>
        <v>1999-05-26</v>
      </c>
      <c r="F150" s="6" t="s">
        <v>34</v>
      </c>
      <c r="G150" s="6" t="s">
        <v>73</v>
      </c>
      <c r="H150" s="6" t="str">
        <f t="shared" si="63"/>
        <v>无</v>
      </c>
      <c r="I150" s="6" t="str">
        <f t="shared" si="62"/>
        <v>海南医学院</v>
      </c>
      <c r="J150" s="6" t="str">
        <f t="shared" si="64"/>
        <v>助产</v>
      </c>
      <c r="K150" s="6" t="s">
        <v>19</v>
      </c>
      <c r="L150" s="10" t="s">
        <v>45</v>
      </c>
      <c r="M150" s="6"/>
    </row>
    <row r="151" spans="1:13" ht="30" customHeight="1">
      <c r="A151" s="6">
        <v>149</v>
      </c>
      <c r="B151" s="9"/>
      <c r="C151" s="6" t="str">
        <f>"郁文"</f>
        <v>郁文</v>
      </c>
      <c r="D151" s="6" t="str">
        <f t="shared" si="61"/>
        <v>女</v>
      </c>
      <c r="E151" s="6" t="str">
        <f>"1996-09-22"</f>
        <v>1996-09-22</v>
      </c>
      <c r="F151" s="6" t="s">
        <v>62</v>
      </c>
      <c r="G151" s="6" t="s">
        <v>73</v>
      </c>
      <c r="H151" s="6" t="str">
        <f t="shared" si="63"/>
        <v>无</v>
      </c>
      <c r="I151" s="6" t="str">
        <f t="shared" si="62"/>
        <v>海南医学院</v>
      </c>
      <c r="J151" s="6" t="str">
        <f t="shared" si="64"/>
        <v>助产</v>
      </c>
      <c r="K151" s="6" t="s">
        <v>19</v>
      </c>
      <c r="L151" s="10" t="s">
        <v>45</v>
      </c>
      <c r="M151" s="6"/>
    </row>
    <row r="152" spans="1:13" ht="30" customHeight="1">
      <c r="A152" s="6">
        <v>150</v>
      </c>
      <c r="B152" s="9"/>
      <c r="C152" s="6" t="str">
        <f>"李兑坤"</f>
        <v>李兑坤</v>
      </c>
      <c r="D152" s="6" t="str">
        <f t="shared" si="61"/>
        <v>女</v>
      </c>
      <c r="E152" s="6" t="str">
        <f>"1996-03-25"</f>
        <v>1996-03-25</v>
      </c>
      <c r="F152" s="6" t="s">
        <v>46</v>
      </c>
      <c r="G152" s="6" t="s">
        <v>73</v>
      </c>
      <c r="H152" s="6" t="str">
        <f t="shared" si="63"/>
        <v>无</v>
      </c>
      <c r="I152" s="6" t="str">
        <f>"淮南联合大学"</f>
        <v>淮南联合大学</v>
      </c>
      <c r="J152" s="6" t="str">
        <f t="shared" si="64"/>
        <v>助产</v>
      </c>
      <c r="K152" s="6" t="s">
        <v>19</v>
      </c>
      <c r="L152" s="10" t="s">
        <v>45</v>
      </c>
      <c r="M152" s="6"/>
    </row>
    <row r="153" spans="1:13" ht="30" customHeight="1">
      <c r="A153" s="6">
        <v>151</v>
      </c>
      <c r="B153" s="9"/>
      <c r="C153" s="6" t="str">
        <f>"朱丽雯"</f>
        <v>朱丽雯</v>
      </c>
      <c r="D153" s="6" t="str">
        <f t="shared" si="61"/>
        <v>女</v>
      </c>
      <c r="E153" s="6" t="str">
        <f>"1996-12-23"</f>
        <v>1996-12-23</v>
      </c>
      <c r="F153" s="6" t="str">
        <f>"海南省三亚市"</f>
        <v>海南省三亚市</v>
      </c>
      <c r="G153" s="6" t="s">
        <v>73</v>
      </c>
      <c r="H153" s="6" t="str">
        <f t="shared" si="63"/>
        <v>无</v>
      </c>
      <c r="I153" s="6" t="str">
        <f aca="true" t="shared" si="65" ref="I153:I157">"海南医学院"</f>
        <v>海南医学院</v>
      </c>
      <c r="J153" s="6" t="str">
        <f aca="true" t="shared" si="66" ref="J153:J157">"助产"</f>
        <v>助产</v>
      </c>
      <c r="K153" s="6" t="s">
        <v>19</v>
      </c>
      <c r="L153" s="10" t="s">
        <v>45</v>
      </c>
      <c r="M153" s="6"/>
    </row>
    <row r="154" spans="1:13" ht="30" customHeight="1">
      <c r="A154" s="6">
        <v>152</v>
      </c>
      <c r="B154" s="9"/>
      <c r="C154" s="6" t="str">
        <f>"曾维雪"</f>
        <v>曾维雪</v>
      </c>
      <c r="D154" s="6" t="str">
        <f t="shared" si="61"/>
        <v>女</v>
      </c>
      <c r="E154" s="6" t="str">
        <f>"1995-01-02"</f>
        <v>1995-01-02</v>
      </c>
      <c r="F154" s="6" t="s">
        <v>18</v>
      </c>
      <c r="G154" s="6" t="s">
        <v>73</v>
      </c>
      <c r="H154" s="6" t="str">
        <f t="shared" si="63"/>
        <v>无</v>
      </c>
      <c r="I154" s="6" t="str">
        <f t="shared" si="65"/>
        <v>海南医学院</v>
      </c>
      <c r="J154" s="6" t="str">
        <f t="shared" si="66"/>
        <v>助产</v>
      </c>
      <c r="K154" s="6" t="s">
        <v>19</v>
      </c>
      <c r="L154" s="10" t="s">
        <v>45</v>
      </c>
      <c r="M154" s="6"/>
    </row>
    <row r="155" spans="1:13" ht="30" customHeight="1">
      <c r="A155" s="6">
        <v>153</v>
      </c>
      <c r="B155" s="9"/>
      <c r="C155" s="6" t="str">
        <f>"周小丽"</f>
        <v>周小丽</v>
      </c>
      <c r="D155" s="6" t="str">
        <f t="shared" si="61"/>
        <v>女</v>
      </c>
      <c r="E155" s="6" t="str">
        <f>"1997-06-13"</f>
        <v>1997-06-13</v>
      </c>
      <c r="F155" s="6" t="str">
        <f>"海南白沙县"</f>
        <v>海南白沙县</v>
      </c>
      <c r="G155" s="6" t="s">
        <v>73</v>
      </c>
      <c r="H155" s="6" t="str">
        <f t="shared" si="63"/>
        <v>无</v>
      </c>
      <c r="I155" s="6" t="str">
        <f t="shared" si="65"/>
        <v>海南医学院</v>
      </c>
      <c r="J155" s="6" t="str">
        <f t="shared" si="66"/>
        <v>助产</v>
      </c>
      <c r="K155" s="6" t="s">
        <v>19</v>
      </c>
      <c r="L155" s="10" t="s">
        <v>45</v>
      </c>
      <c r="M155" s="6"/>
    </row>
    <row r="156" spans="1:13" ht="30" customHeight="1">
      <c r="A156" s="6">
        <v>154</v>
      </c>
      <c r="B156" s="9"/>
      <c r="C156" s="6" t="str">
        <f>"谢土月"</f>
        <v>谢土月</v>
      </c>
      <c r="D156" s="6" t="str">
        <f t="shared" si="61"/>
        <v>女</v>
      </c>
      <c r="E156" s="6" t="str">
        <f>"1996-10-20"</f>
        <v>1996-10-20</v>
      </c>
      <c r="F156" s="6" t="s">
        <v>46</v>
      </c>
      <c r="G156" s="6" t="s">
        <v>73</v>
      </c>
      <c r="H156" s="6" t="str">
        <f t="shared" si="63"/>
        <v>无</v>
      </c>
      <c r="I156" s="6" t="str">
        <f t="shared" si="65"/>
        <v>海南医学院</v>
      </c>
      <c r="J156" s="6" t="str">
        <f>"助产"</f>
        <v>助产</v>
      </c>
      <c r="K156" s="6" t="s">
        <v>19</v>
      </c>
      <c r="L156" s="10" t="s">
        <v>45</v>
      </c>
      <c r="M156" s="6"/>
    </row>
    <row r="157" spans="1:18" ht="30" customHeight="1">
      <c r="A157" s="6">
        <v>155</v>
      </c>
      <c r="B157" s="8"/>
      <c r="C157" s="12" t="str">
        <f>"陈欢女"</f>
        <v>陈欢女</v>
      </c>
      <c r="D157" s="12" t="str">
        <f t="shared" si="61"/>
        <v>女</v>
      </c>
      <c r="E157" s="12" t="str">
        <f>"1996-11-06"</f>
        <v>1996-11-06</v>
      </c>
      <c r="F157" s="12" t="s">
        <v>39</v>
      </c>
      <c r="G157" s="6" t="s">
        <v>73</v>
      </c>
      <c r="H157" s="12" t="str">
        <f t="shared" si="63"/>
        <v>无</v>
      </c>
      <c r="I157" s="12" t="str">
        <f t="shared" si="65"/>
        <v>海南医学院</v>
      </c>
      <c r="J157" s="6" t="str">
        <f t="shared" si="66"/>
        <v>助产</v>
      </c>
      <c r="K157" s="6" t="s">
        <v>19</v>
      </c>
      <c r="L157" s="10" t="s">
        <v>45</v>
      </c>
      <c r="M157" s="12"/>
      <c r="O157" s="13"/>
      <c r="P157" s="13"/>
      <c r="Q157" s="13"/>
      <c r="R157" s="13"/>
    </row>
    <row r="158" spans="1:13" ht="30" customHeight="1">
      <c r="A158" s="6">
        <v>156</v>
      </c>
      <c r="B158" s="7" t="s">
        <v>74</v>
      </c>
      <c r="C158" s="6" t="str">
        <f>"陈吉梅"</f>
        <v>陈吉梅</v>
      </c>
      <c r="D158" s="6" t="str">
        <f t="shared" si="61"/>
        <v>女</v>
      </c>
      <c r="E158" s="6" t="str">
        <f>"1992-08-20"</f>
        <v>1992-08-20</v>
      </c>
      <c r="F158" s="6" t="str">
        <f>"海南省儋州市"</f>
        <v>海南省儋州市</v>
      </c>
      <c r="G158" s="6" t="str">
        <f aca="true" t="shared" si="67" ref="G158:G197">"本科"</f>
        <v>本科</v>
      </c>
      <c r="H158" s="6" t="str">
        <f aca="true" t="shared" si="68" ref="H158:H221">"学士"</f>
        <v>学士</v>
      </c>
      <c r="I158" s="6" t="str">
        <f>"北京科技大学天津学院"</f>
        <v>北京科技大学天津学院</v>
      </c>
      <c r="J158" s="6" t="str">
        <f aca="true" t="shared" si="69" ref="J158:J160">"会计学"</f>
        <v>会计学</v>
      </c>
      <c r="K158" s="6" t="s">
        <v>19</v>
      </c>
      <c r="L158" s="10" t="s">
        <v>45</v>
      </c>
      <c r="M158" s="6"/>
    </row>
    <row r="159" spans="1:13" ht="30" customHeight="1">
      <c r="A159" s="6">
        <v>157</v>
      </c>
      <c r="B159" s="9"/>
      <c r="C159" s="6" t="str">
        <f>"颜欢欢"</f>
        <v>颜欢欢</v>
      </c>
      <c r="D159" s="6" t="str">
        <f t="shared" si="61"/>
        <v>女</v>
      </c>
      <c r="E159" s="6" t="str">
        <f>"1989-11-20"</f>
        <v>1989-11-20</v>
      </c>
      <c r="F159" s="6" t="s">
        <v>25</v>
      </c>
      <c r="G159" s="6" t="str">
        <f t="shared" si="67"/>
        <v>本科</v>
      </c>
      <c r="H159" s="6" t="str">
        <f t="shared" si="68"/>
        <v>学士</v>
      </c>
      <c r="I159" s="6" t="str">
        <f>"中央财经大学"</f>
        <v>中央财经大学</v>
      </c>
      <c r="J159" s="6" t="str">
        <f t="shared" si="69"/>
        <v>会计学</v>
      </c>
      <c r="K159" s="6" t="s">
        <v>15</v>
      </c>
      <c r="L159" s="10" t="s">
        <v>45</v>
      </c>
      <c r="M159" s="6"/>
    </row>
    <row r="160" spans="1:13" ht="30" customHeight="1">
      <c r="A160" s="6">
        <v>158</v>
      </c>
      <c r="B160" s="9"/>
      <c r="C160" s="6" t="str">
        <f>"丁永宇"</f>
        <v>丁永宇</v>
      </c>
      <c r="D160" s="6" t="str">
        <f>"男"</f>
        <v>男</v>
      </c>
      <c r="E160" s="6" t="str">
        <f>"1994-12-05"</f>
        <v>1994-12-05</v>
      </c>
      <c r="F160" s="6" t="str">
        <f>"海南省儋州市"</f>
        <v>海南省儋州市</v>
      </c>
      <c r="G160" s="6" t="str">
        <f t="shared" si="67"/>
        <v>本科</v>
      </c>
      <c r="H160" s="6" t="str">
        <f t="shared" si="68"/>
        <v>学士</v>
      </c>
      <c r="I160" s="6" t="str">
        <f>"西安培华学院"</f>
        <v>西安培华学院</v>
      </c>
      <c r="J160" s="6" t="str">
        <f t="shared" si="69"/>
        <v>会计学</v>
      </c>
      <c r="K160" s="6" t="s">
        <v>19</v>
      </c>
      <c r="L160" s="10" t="s">
        <v>45</v>
      </c>
      <c r="M160" s="6"/>
    </row>
    <row r="161" spans="1:13" ht="30" customHeight="1">
      <c r="A161" s="6">
        <v>159</v>
      </c>
      <c r="B161" s="9"/>
      <c r="C161" s="6" t="str">
        <f>"李花"</f>
        <v>李花</v>
      </c>
      <c r="D161" s="6" t="str">
        <f aca="true" t="shared" si="70" ref="D161:D175">"女"</f>
        <v>女</v>
      </c>
      <c r="E161" s="6" t="str">
        <f>"1996-08-23"</f>
        <v>1996-08-23</v>
      </c>
      <c r="F161" s="6" t="s">
        <v>46</v>
      </c>
      <c r="G161" s="6" t="str">
        <f t="shared" si="67"/>
        <v>本科</v>
      </c>
      <c r="H161" s="6" t="str">
        <f t="shared" si="68"/>
        <v>学士</v>
      </c>
      <c r="I161" s="6" t="str">
        <f aca="true" t="shared" si="71" ref="I161:I164">"海南大学"</f>
        <v>海南大学</v>
      </c>
      <c r="J161" s="6" t="str">
        <f>"会计学（注册会计师方向）"</f>
        <v>会计学（注册会计师方向）</v>
      </c>
      <c r="K161" s="6" t="s">
        <v>19</v>
      </c>
      <c r="L161" s="10" t="s">
        <v>45</v>
      </c>
      <c r="M161" s="6"/>
    </row>
    <row r="162" spans="1:13" ht="30" customHeight="1">
      <c r="A162" s="6">
        <v>160</v>
      </c>
      <c r="B162" s="9"/>
      <c r="C162" s="6" t="str">
        <f>"钟婷"</f>
        <v>钟婷</v>
      </c>
      <c r="D162" s="6" t="str">
        <f t="shared" si="70"/>
        <v>女</v>
      </c>
      <c r="E162" s="6" t="str">
        <f>"1996-12-14"</f>
        <v>1996-12-14</v>
      </c>
      <c r="F162" s="6" t="str">
        <f>"广东省蕉岭县"</f>
        <v>广东省蕉岭县</v>
      </c>
      <c r="G162" s="6" t="str">
        <f t="shared" si="67"/>
        <v>本科</v>
      </c>
      <c r="H162" s="6" t="str">
        <f t="shared" si="68"/>
        <v>学士</v>
      </c>
      <c r="I162" s="6" t="str">
        <f t="shared" si="71"/>
        <v>海南大学</v>
      </c>
      <c r="J162" s="6" t="str">
        <f>"会计学（涉外会计方向）"</f>
        <v>会计学（涉外会计方向）</v>
      </c>
      <c r="K162" s="6" t="s">
        <v>19</v>
      </c>
      <c r="L162" s="10" t="s">
        <v>45</v>
      </c>
      <c r="M162" s="6"/>
    </row>
    <row r="163" spans="1:13" ht="30" customHeight="1">
      <c r="A163" s="6">
        <v>161</v>
      </c>
      <c r="B163" s="9"/>
      <c r="C163" s="6" t="str">
        <f>"何秋淳"</f>
        <v>何秋淳</v>
      </c>
      <c r="D163" s="6" t="str">
        <f t="shared" si="70"/>
        <v>女</v>
      </c>
      <c r="E163" s="6" t="str">
        <f>"1997-12"</f>
        <v>1997-12</v>
      </c>
      <c r="F163" s="6" t="s">
        <v>22</v>
      </c>
      <c r="G163" s="6" t="str">
        <f t="shared" si="67"/>
        <v>本科</v>
      </c>
      <c r="H163" s="6" t="str">
        <f t="shared" si="68"/>
        <v>学士</v>
      </c>
      <c r="I163" s="6" t="str">
        <f>"云南财经大学"</f>
        <v>云南财经大学</v>
      </c>
      <c r="J163" s="6" t="str">
        <f aca="true" t="shared" si="72" ref="J163:J168">"会计学"</f>
        <v>会计学</v>
      </c>
      <c r="K163" s="6" t="s">
        <v>19</v>
      </c>
      <c r="L163" s="10" t="s">
        <v>45</v>
      </c>
      <c r="M163" s="6"/>
    </row>
    <row r="164" spans="1:13" ht="30" customHeight="1">
      <c r="A164" s="6">
        <v>162</v>
      </c>
      <c r="B164" s="9"/>
      <c r="C164" s="6" t="str">
        <f>"林宣杉"</f>
        <v>林宣杉</v>
      </c>
      <c r="D164" s="6" t="str">
        <f t="shared" si="70"/>
        <v>女</v>
      </c>
      <c r="E164" s="6" t="str">
        <f>"1997-08-12"</f>
        <v>1997-08-12</v>
      </c>
      <c r="F164" s="6" t="s">
        <v>22</v>
      </c>
      <c r="G164" s="6" t="str">
        <f t="shared" si="67"/>
        <v>本科</v>
      </c>
      <c r="H164" s="6" t="str">
        <f t="shared" si="68"/>
        <v>学士</v>
      </c>
      <c r="I164" s="6" t="str">
        <f t="shared" si="71"/>
        <v>海南大学</v>
      </c>
      <c r="J164" s="6" t="str">
        <f>"会计学（涉外会计方向）"</f>
        <v>会计学（涉外会计方向）</v>
      </c>
      <c r="K164" s="6" t="s">
        <v>19</v>
      </c>
      <c r="L164" s="10" t="s">
        <v>45</v>
      </c>
      <c r="M164" s="6"/>
    </row>
    <row r="165" spans="1:13" ht="30" customHeight="1">
      <c r="A165" s="6">
        <v>163</v>
      </c>
      <c r="B165" s="9"/>
      <c r="C165" s="6" t="str">
        <f>"郑娜"</f>
        <v>郑娜</v>
      </c>
      <c r="D165" s="6" t="str">
        <f t="shared" si="70"/>
        <v>女</v>
      </c>
      <c r="E165" s="6" t="str">
        <f>"1996-03-17"</f>
        <v>1996-03-17</v>
      </c>
      <c r="F165" s="6" t="s">
        <v>75</v>
      </c>
      <c r="G165" s="6" t="str">
        <f t="shared" si="67"/>
        <v>本科</v>
      </c>
      <c r="H165" s="6" t="str">
        <f t="shared" si="68"/>
        <v>学士</v>
      </c>
      <c r="I165" s="6" t="str">
        <f>"湖南农业大学"</f>
        <v>湖南农业大学</v>
      </c>
      <c r="J165" s="6" t="str">
        <f t="shared" si="72"/>
        <v>会计学</v>
      </c>
      <c r="K165" s="6" t="s">
        <v>19</v>
      </c>
      <c r="L165" s="10" t="s">
        <v>45</v>
      </c>
      <c r="M165" s="6"/>
    </row>
    <row r="166" spans="1:13" ht="30" customHeight="1">
      <c r="A166" s="6">
        <v>164</v>
      </c>
      <c r="B166" s="9"/>
      <c r="C166" s="6" t="str">
        <f>"曾文豪"</f>
        <v>曾文豪</v>
      </c>
      <c r="D166" s="6" t="str">
        <f t="shared" si="70"/>
        <v>女</v>
      </c>
      <c r="E166" s="6" t="str">
        <f>"1985-07-23"</f>
        <v>1985-07-23</v>
      </c>
      <c r="F166" s="6" t="s">
        <v>18</v>
      </c>
      <c r="G166" s="6" t="str">
        <f t="shared" si="67"/>
        <v>本科</v>
      </c>
      <c r="H166" s="6" t="str">
        <f t="shared" si="68"/>
        <v>学士</v>
      </c>
      <c r="I166" s="6" t="str">
        <f>"海南师范大学"</f>
        <v>海南师范大学</v>
      </c>
      <c r="J166" s="6" t="str">
        <f t="shared" si="72"/>
        <v>会计学</v>
      </c>
      <c r="K166" s="6" t="s">
        <v>15</v>
      </c>
      <c r="L166" s="10" t="s">
        <v>45</v>
      </c>
      <c r="M166" s="6"/>
    </row>
    <row r="167" spans="1:13" ht="30" customHeight="1">
      <c r="A167" s="6">
        <v>165</v>
      </c>
      <c r="B167" s="9"/>
      <c r="C167" s="6" t="str">
        <f>"符丽菊"</f>
        <v>符丽菊</v>
      </c>
      <c r="D167" s="6" t="str">
        <f t="shared" si="70"/>
        <v>女</v>
      </c>
      <c r="E167" s="6" t="str">
        <f>"1997-05-19"</f>
        <v>1997-05-19</v>
      </c>
      <c r="F167" s="6" t="s">
        <v>46</v>
      </c>
      <c r="G167" s="6" t="str">
        <f t="shared" si="67"/>
        <v>本科</v>
      </c>
      <c r="H167" s="6" t="str">
        <f t="shared" si="68"/>
        <v>学士</v>
      </c>
      <c r="I167" s="6" t="str">
        <f>"江西农业大学南昌商学院"</f>
        <v>江西农业大学南昌商学院</v>
      </c>
      <c r="J167" s="6" t="str">
        <f t="shared" si="72"/>
        <v>会计学</v>
      </c>
      <c r="K167" s="6" t="str">
        <f>"初级"</f>
        <v>初级</v>
      </c>
      <c r="L167" s="10" t="s">
        <v>45</v>
      </c>
      <c r="M167" s="6"/>
    </row>
    <row r="168" spans="1:13" ht="30" customHeight="1">
      <c r="A168" s="6">
        <v>166</v>
      </c>
      <c r="B168" s="9"/>
      <c r="C168" s="6" t="str">
        <f>"张丽珠"</f>
        <v>张丽珠</v>
      </c>
      <c r="D168" s="6" t="str">
        <f t="shared" si="70"/>
        <v>女</v>
      </c>
      <c r="E168" s="6" t="str">
        <f>"1988-05-28"</f>
        <v>1988-05-28</v>
      </c>
      <c r="F168" s="6" t="str">
        <f>"海南省海口市"</f>
        <v>海南省海口市</v>
      </c>
      <c r="G168" s="6" t="str">
        <f t="shared" si="67"/>
        <v>本科</v>
      </c>
      <c r="H168" s="6" t="str">
        <f t="shared" si="68"/>
        <v>学士</v>
      </c>
      <c r="I168" s="6" t="str">
        <f>"邵阳学院"</f>
        <v>邵阳学院</v>
      </c>
      <c r="J168" s="6" t="str">
        <f t="shared" si="72"/>
        <v>会计学</v>
      </c>
      <c r="K168" s="6" t="str">
        <f aca="true" t="shared" si="73" ref="K168:K176">"初级"</f>
        <v>初级</v>
      </c>
      <c r="L168" s="10" t="s">
        <v>45</v>
      </c>
      <c r="M168" s="6"/>
    </row>
    <row r="169" spans="1:13" ht="30" customHeight="1">
      <c r="A169" s="6">
        <v>167</v>
      </c>
      <c r="B169" s="9"/>
      <c r="C169" s="6" t="str">
        <f>"叶青"</f>
        <v>叶青</v>
      </c>
      <c r="D169" s="6" t="str">
        <f t="shared" si="70"/>
        <v>女</v>
      </c>
      <c r="E169" s="6" t="str">
        <f>"1995-10-26"</f>
        <v>1995-10-26</v>
      </c>
      <c r="F169" s="6" t="s">
        <v>39</v>
      </c>
      <c r="G169" s="6" t="str">
        <f t="shared" si="67"/>
        <v>本科</v>
      </c>
      <c r="H169" s="6" t="str">
        <f t="shared" si="68"/>
        <v>学士</v>
      </c>
      <c r="I169" s="6" t="str">
        <f>"重庆工商大学派斯学院"</f>
        <v>重庆工商大学派斯学院</v>
      </c>
      <c r="J169" s="6" t="str">
        <f>"会计学专业"</f>
        <v>会计学专业</v>
      </c>
      <c r="K169" s="6" t="str">
        <f t="shared" si="73"/>
        <v>初级</v>
      </c>
      <c r="L169" s="10" t="s">
        <v>45</v>
      </c>
      <c r="M169" s="6"/>
    </row>
    <row r="170" spans="1:13" ht="30" customHeight="1">
      <c r="A170" s="6">
        <v>168</v>
      </c>
      <c r="B170" s="9"/>
      <c r="C170" s="6" t="str">
        <f>"符树磊"</f>
        <v>符树磊</v>
      </c>
      <c r="D170" s="6" t="str">
        <f t="shared" si="70"/>
        <v>女</v>
      </c>
      <c r="E170" s="6" t="str">
        <f>"1998-12-11"</f>
        <v>1998-12-11</v>
      </c>
      <c r="F170" s="6" t="s">
        <v>28</v>
      </c>
      <c r="G170" s="6" t="str">
        <f t="shared" si="67"/>
        <v>本科</v>
      </c>
      <c r="H170" s="6" t="str">
        <f t="shared" si="68"/>
        <v>学士</v>
      </c>
      <c r="I170" s="6" t="str">
        <f>"海南大学"</f>
        <v>海南大学</v>
      </c>
      <c r="J170" s="6" t="str">
        <f aca="true" t="shared" si="74" ref="J170:J176">"会计学"</f>
        <v>会计学</v>
      </c>
      <c r="K170" s="6" t="str">
        <f t="shared" si="73"/>
        <v>初级</v>
      </c>
      <c r="L170" s="10" t="s">
        <v>45</v>
      </c>
      <c r="M170" s="6"/>
    </row>
    <row r="171" spans="1:13" ht="30" customHeight="1">
      <c r="A171" s="6">
        <v>169</v>
      </c>
      <c r="B171" s="9"/>
      <c r="C171" s="6" t="str">
        <f>"谢婷娜"</f>
        <v>谢婷娜</v>
      </c>
      <c r="D171" s="6" t="str">
        <f t="shared" si="70"/>
        <v>女</v>
      </c>
      <c r="E171" s="6" t="str">
        <f>"1995-08-25"</f>
        <v>1995-08-25</v>
      </c>
      <c r="F171" s="6" t="str">
        <f>"海南省儋州市"</f>
        <v>海南省儋州市</v>
      </c>
      <c r="G171" s="6" t="str">
        <f t="shared" si="67"/>
        <v>本科</v>
      </c>
      <c r="H171" s="6" t="str">
        <f t="shared" si="68"/>
        <v>学士</v>
      </c>
      <c r="I171" s="6" t="str">
        <f>"三亚学院"</f>
        <v>三亚学院</v>
      </c>
      <c r="J171" s="6" t="str">
        <f>"会计学（注册会计）"</f>
        <v>会计学（注册会计）</v>
      </c>
      <c r="K171" s="6" t="str">
        <f t="shared" si="73"/>
        <v>初级</v>
      </c>
      <c r="L171" s="10" t="s">
        <v>45</v>
      </c>
      <c r="M171" s="6"/>
    </row>
    <row r="172" spans="1:13" ht="30" customHeight="1">
      <c r="A172" s="6">
        <v>170</v>
      </c>
      <c r="B172" s="9"/>
      <c r="C172" s="6" t="str">
        <f>"林琛"</f>
        <v>林琛</v>
      </c>
      <c r="D172" s="6" t="str">
        <f t="shared" si="70"/>
        <v>女</v>
      </c>
      <c r="E172" s="6" t="str">
        <f>"1991-05-14"</f>
        <v>1991-05-14</v>
      </c>
      <c r="F172" s="6" t="s">
        <v>39</v>
      </c>
      <c r="G172" s="6" t="str">
        <f t="shared" si="67"/>
        <v>本科</v>
      </c>
      <c r="H172" s="6" t="str">
        <f t="shared" si="68"/>
        <v>学士</v>
      </c>
      <c r="I172" s="6" t="str">
        <f>"华北电力大学科技学院"</f>
        <v>华北电力大学科技学院</v>
      </c>
      <c r="J172" s="6" t="str">
        <f t="shared" si="74"/>
        <v>会计学</v>
      </c>
      <c r="K172" s="6" t="str">
        <f t="shared" si="73"/>
        <v>初级</v>
      </c>
      <c r="L172" s="10" t="s">
        <v>45</v>
      </c>
      <c r="M172" s="6"/>
    </row>
    <row r="173" spans="1:13" ht="30" customHeight="1">
      <c r="A173" s="6">
        <v>171</v>
      </c>
      <c r="B173" s="9"/>
      <c r="C173" s="6" t="str">
        <f>"李美桃"</f>
        <v>李美桃</v>
      </c>
      <c r="D173" s="6" t="str">
        <f t="shared" si="70"/>
        <v>女</v>
      </c>
      <c r="E173" s="6" t="str">
        <f>"1994-10-05"</f>
        <v>1994-10-05</v>
      </c>
      <c r="F173" s="6" t="s">
        <v>46</v>
      </c>
      <c r="G173" s="6" t="str">
        <f t="shared" si="67"/>
        <v>本科</v>
      </c>
      <c r="H173" s="6" t="str">
        <f t="shared" si="68"/>
        <v>学士</v>
      </c>
      <c r="I173" s="6" t="str">
        <f>"南宁学院"</f>
        <v>南宁学院</v>
      </c>
      <c r="J173" s="6" t="str">
        <f t="shared" si="74"/>
        <v>会计学</v>
      </c>
      <c r="K173" s="6" t="str">
        <f t="shared" si="73"/>
        <v>初级</v>
      </c>
      <c r="L173" s="10" t="s">
        <v>45</v>
      </c>
      <c r="M173" s="6"/>
    </row>
    <row r="174" spans="1:13" ht="30" customHeight="1">
      <c r="A174" s="6">
        <v>172</v>
      </c>
      <c r="B174" s="9"/>
      <c r="C174" s="6" t="str">
        <f>"吴如芳"</f>
        <v>吴如芳</v>
      </c>
      <c r="D174" s="6" t="str">
        <f t="shared" si="70"/>
        <v>女</v>
      </c>
      <c r="E174" s="6" t="str">
        <f>"1994-02-11"</f>
        <v>1994-02-11</v>
      </c>
      <c r="F174" s="6" t="s">
        <v>46</v>
      </c>
      <c r="G174" s="6" t="str">
        <f t="shared" si="67"/>
        <v>本科</v>
      </c>
      <c r="H174" s="6" t="str">
        <f t="shared" si="68"/>
        <v>学士</v>
      </c>
      <c r="I174" s="6" t="str">
        <f>"云南大学旅游文化学院"</f>
        <v>云南大学旅游文化学院</v>
      </c>
      <c r="J174" s="6" t="str">
        <f t="shared" si="74"/>
        <v>会计学</v>
      </c>
      <c r="K174" s="6" t="str">
        <f t="shared" si="73"/>
        <v>初级</v>
      </c>
      <c r="L174" s="10" t="s">
        <v>45</v>
      </c>
      <c r="M174" s="6"/>
    </row>
    <row r="175" spans="1:13" ht="30" customHeight="1">
      <c r="A175" s="6">
        <v>173</v>
      </c>
      <c r="B175" s="9"/>
      <c r="C175" s="6" t="str">
        <f>"尤泽弘"</f>
        <v>尤泽弘</v>
      </c>
      <c r="D175" s="6" t="str">
        <f t="shared" si="70"/>
        <v>女</v>
      </c>
      <c r="E175" s="6" t="str">
        <f>"1995-12-27"</f>
        <v>1995-12-27</v>
      </c>
      <c r="F175" s="6" t="str">
        <f>"福建省泉州市"</f>
        <v>福建省泉州市</v>
      </c>
      <c r="G175" s="6" t="str">
        <f t="shared" si="67"/>
        <v>本科</v>
      </c>
      <c r="H175" s="6" t="str">
        <f t="shared" si="68"/>
        <v>学士</v>
      </c>
      <c r="I175" s="6" t="str">
        <f>"闽江学院"</f>
        <v>闽江学院</v>
      </c>
      <c r="J175" s="6" t="str">
        <f t="shared" si="74"/>
        <v>会计学</v>
      </c>
      <c r="K175" s="6" t="str">
        <f t="shared" si="73"/>
        <v>初级</v>
      </c>
      <c r="L175" s="10" t="s">
        <v>45</v>
      </c>
      <c r="M175" s="6"/>
    </row>
    <row r="176" spans="1:13" ht="30" customHeight="1">
      <c r="A176" s="6">
        <v>174</v>
      </c>
      <c r="B176" s="9"/>
      <c r="C176" s="6" t="str">
        <f>"王善健"</f>
        <v>王善健</v>
      </c>
      <c r="D176" s="6" t="str">
        <f>"男"</f>
        <v>男</v>
      </c>
      <c r="E176" s="6" t="str">
        <f>"1994-11-05"</f>
        <v>1994-11-05</v>
      </c>
      <c r="F176" s="6" t="s">
        <v>25</v>
      </c>
      <c r="G176" s="6" t="str">
        <f t="shared" si="67"/>
        <v>本科</v>
      </c>
      <c r="H176" s="6" t="str">
        <f t="shared" si="68"/>
        <v>学士</v>
      </c>
      <c r="I176" s="6" t="str">
        <f>"西京学院"</f>
        <v>西京学院</v>
      </c>
      <c r="J176" s="6" t="str">
        <f t="shared" si="74"/>
        <v>会计学</v>
      </c>
      <c r="K176" s="6" t="str">
        <f t="shared" si="73"/>
        <v>初级</v>
      </c>
      <c r="L176" s="10" t="s">
        <v>45</v>
      </c>
      <c r="M176" s="6"/>
    </row>
    <row r="177" spans="1:13" ht="30" customHeight="1">
      <c r="A177" s="6">
        <v>175</v>
      </c>
      <c r="B177" s="9"/>
      <c r="C177" s="6" t="str">
        <f>"肖玉紫"</f>
        <v>肖玉紫</v>
      </c>
      <c r="D177" s="6" t="str">
        <f aca="true" t="shared" si="75" ref="D177:D183">"女"</f>
        <v>女</v>
      </c>
      <c r="E177" s="6" t="str">
        <f>"1993-06-10"</f>
        <v>1993-06-10</v>
      </c>
      <c r="F177" s="6" t="s">
        <v>34</v>
      </c>
      <c r="G177" s="6" t="str">
        <f t="shared" si="67"/>
        <v>本科</v>
      </c>
      <c r="H177" s="6" t="str">
        <f t="shared" si="68"/>
        <v>学士</v>
      </c>
      <c r="I177" s="6" t="str">
        <f>"海南大学"</f>
        <v>海南大学</v>
      </c>
      <c r="J177" s="6" t="str">
        <f>"会计学（注册会计师专业）"</f>
        <v>会计学（注册会计师专业）</v>
      </c>
      <c r="K177" s="6" t="str">
        <f aca="true" t="shared" si="76" ref="K177:K188">"初级"</f>
        <v>初级</v>
      </c>
      <c r="L177" s="10" t="s">
        <v>45</v>
      </c>
      <c r="M177" s="6"/>
    </row>
    <row r="178" spans="1:13" ht="30" customHeight="1">
      <c r="A178" s="6">
        <v>176</v>
      </c>
      <c r="B178" s="9"/>
      <c r="C178" s="6" t="str">
        <f>"韦荣娟"</f>
        <v>韦荣娟</v>
      </c>
      <c r="D178" s="6" t="str">
        <f t="shared" si="75"/>
        <v>女</v>
      </c>
      <c r="E178" s="6" t="str">
        <f>"1994-03-10"</f>
        <v>1994-03-10</v>
      </c>
      <c r="F178" s="6" t="s">
        <v>76</v>
      </c>
      <c r="G178" s="6" t="str">
        <f t="shared" si="67"/>
        <v>本科</v>
      </c>
      <c r="H178" s="6" t="str">
        <f t="shared" si="68"/>
        <v>学士</v>
      </c>
      <c r="I178" s="6" t="str">
        <f>"广西财经学院"</f>
        <v>广西财经学院</v>
      </c>
      <c r="J178" s="6" t="str">
        <f aca="true" t="shared" si="77" ref="J178:J180">"会计学"</f>
        <v>会计学</v>
      </c>
      <c r="K178" s="6" t="str">
        <f t="shared" si="76"/>
        <v>初级</v>
      </c>
      <c r="L178" s="10" t="s">
        <v>45</v>
      </c>
      <c r="M178" s="6"/>
    </row>
    <row r="179" spans="1:13" ht="30" customHeight="1">
      <c r="A179" s="6">
        <v>177</v>
      </c>
      <c r="B179" s="9"/>
      <c r="C179" s="6" t="str">
        <f>"李明慧"</f>
        <v>李明慧</v>
      </c>
      <c r="D179" s="6" t="str">
        <f t="shared" si="75"/>
        <v>女</v>
      </c>
      <c r="E179" s="6" t="str">
        <f>"1997-01-27"</f>
        <v>1997-01-27</v>
      </c>
      <c r="F179" s="6" t="s">
        <v>49</v>
      </c>
      <c r="G179" s="6" t="str">
        <f t="shared" si="67"/>
        <v>本科</v>
      </c>
      <c r="H179" s="6" t="str">
        <f t="shared" si="68"/>
        <v>学士</v>
      </c>
      <c r="I179" s="6" t="str">
        <f>"福州大学"</f>
        <v>福州大学</v>
      </c>
      <c r="J179" s="6" t="str">
        <f t="shared" si="77"/>
        <v>会计学</v>
      </c>
      <c r="K179" s="6" t="str">
        <f t="shared" si="76"/>
        <v>初级</v>
      </c>
      <c r="L179" s="10" t="s">
        <v>45</v>
      </c>
      <c r="M179" s="6"/>
    </row>
    <row r="180" spans="1:13" ht="30" customHeight="1">
      <c r="A180" s="6">
        <v>178</v>
      </c>
      <c r="B180" s="9"/>
      <c r="C180" s="6" t="str">
        <f>"李娜"</f>
        <v>李娜</v>
      </c>
      <c r="D180" s="6" t="str">
        <f t="shared" si="75"/>
        <v>女</v>
      </c>
      <c r="E180" s="6" t="str">
        <f>"1993-12-25"</f>
        <v>1993-12-25</v>
      </c>
      <c r="F180" s="6" t="s">
        <v>25</v>
      </c>
      <c r="G180" s="6" t="str">
        <f t="shared" si="67"/>
        <v>本科</v>
      </c>
      <c r="H180" s="6" t="str">
        <f t="shared" si="68"/>
        <v>学士</v>
      </c>
      <c r="I180" s="6" t="str">
        <f>"湖南商学院"</f>
        <v>湖南商学院</v>
      </c>
      <c r="J180" s="6" t="str">
        <f t="shared" si="77"/>
        <v>会计学</v>
      </c>
      <c r="K180" s="6" t="str">
        <f t="shared" si="76"/>
        <v>初级</v>
      </c>
      <c r="L180" s="10" t="s">
        <v>45</v>
      </c>
      <c r="M180" s="6"/>
    </row>
    <row r="181" spans="1:13" ht="30" customHeight="1">
      <c r="A181" s="6">
        <v>179</v>
      </c>
      <c r="B181" s="9"/>
      <c r="C181" s="6" t="str">
        <f>"黄琦倩"</f>
        <v>黄琦倩</v>
      </c>
      <c r="D181" s="6" t="str">
        <f t="shared" si="75"/>
        <v>女</v>
      </c>
      <c r="E181" s="6" t="str">
        <f>"1996-04-11"</f>
        <v>1996-04-11</v>
      </c>
      <c r="F181" s="6" t="s">
        <v>62</v>
      </c>
      <c r="G181" s="6" t="str">
        <f t="shared" si="67"/>
        <v>本科</v>
      </c>
      <c r="H181" s="6" t="str">
        <f t="shared" si="68"/>
        <v>学士</v>
      </c>
      <c r="I181" s="6" t="str">
        <f>"海南大学"</f>
        <v>海南大学</v>
      </c>
      <c r="J181" s="6" t="str">
        <f>"会计学（涉外会计方向）"</f>
        <v>会计学（涉外会计方向）</v>
      </c>
      <c r="K181" s="6" t="str">
        <f t="shared" si="76"/>
        <v>初级</v>
      </c>
      <c r="L181" s="10" t="s">
        <v>45</v>
      </c>
      <c r="M181" s="6"/>
    </row>
    <row r="182" spans="1:13" ht="30" customHeight="1">
      <c r="A182" s="6">
        <v>180</v>
      </c>
      <c r="B182" s="9"/>
      <c r="C182" s="6" t="str">
        <f>"王春玉"</f>
        <v>王春玉</v>
      </c>
      <c r="D182" s="6" t="str">
        <f t="shared" si="75"/>
        <v>女</v>
      </c>
      <c r="E182" s="6" t="str">
        <f>"1996-06-27"</f>
        <v>1996-06-27</v>
      </c>
      <c r="F182" s="6" t="s">
        <v>46</v>
      </c>
      <c r="G182" s="6" t="str">
        <f t="shared" si="67"/>
        <v>本科</v>
      </c>
      <c r="H182" s="6" t="str">
        <f t="shared" si="68"/>
        <v>学士</v>
      </c>
      <c r="I182" s="6" t="str">
        <f>"海口经济学院"</f>
        <v>海口经济学院</v>
      </c>
      <c r="J182" s="6" t="str">
        <f aca="true" t="shared" si="78" ref="J182:J184">"会计学"</f>
        <v>会计学</v>
      </c>
      <c r="K182" s="6" t="str">
        <f t="shared" si="76"/>
        <v>初级</v>
      </c>
      <c r="L182" s="10" t="s">
        <v>45</v>
      </c>
      <c r="M182" s="6"/>
    </row>
    <row r="183" spans="1:13" ht="30" customHeight="1">
      <c r="A183" s="6">
        <v>181</v>
      </c>
      <c r="B183" s="9"/>
      <c r="C183" s="6" t="str">
        <f>"劳晓杰"</f>
        <v>劳晓杰</v>
      </c>
      <c r="D183" s="6" t="str">
        <f t="shared" si="75"/>
        <v>女</v>
      </c>
      <c r="E183" s="6" t="str">
        <f>"1992-08-28"</f>
        <v>1992-08-28</v>
      </c>
      <c r="F183" s="6" t="str">
        <f>"海南省临高县"</f>
        <v>海南省临高县</v>
      </c>
      <c r="G183" s="6" t="str">
        <f t="shared" si="67"/>
        <v>本科</v>
      </c>
      <c r="H183" s="6" t="str">
        <f t="shared" si="68"/>
        <v>学士</v>
      </c>
      <c r="I183" s="6" t="str">
        <f>"广东海洋大学寸金学院"</f>
        <v>广东海洋大学寸金学院</v>
      </c>
      <c r="J183" s="6" t="str">
        <f t="shared" si="78"/>
        <v>会计学</v>
      </c>
      <c r="K183" s="6" t="str">
        <f t="shared" si="76"/>
        <v>初级</v>
      </c>
      <c r="L183" s="10" t="s">
        <v>45</v>
      </c>
      <c r="M183" s="6"/>
    </row>
    <row r="184" spans="1:13" ht="30" customHeight="1">
      <c r="A184" s="6">
        <v>182</v>
      </c>
      <c r="B184" s="9"/>
      <c r="C184" s="6" t="str">
        <f>"曾伟龙"</f>
        <v>曾伟龙</v>
      </c>
      <c r="D184" s="6" t="str">
        <f>"男"</f>
        <v>男</v>
      </c>
      <c r="E184" s="6" t="str">
        <f>"1994-09-15"</f>
        <v>1994-09-15</v>
      </c>
      <c r="F184" s="6" t="s">
        <v>77</v>
      </c>
      <c r="G184" s="6" t="str">
        <f t="shared" si="67"/>
        <v>本科</v>
      </c>
      <c r="H184" s="6" t="str">
        <f t="shared" si="68"/>
        <v>学士</v>
      </c>
      <c r="I184" s="6" t="str">
        <f>"江西科技师范大学"</f>
        <v>江西科技师范大学</v>
      </c>
      <c r="J184" s="6" t="str">
        <f t="shared" si="78"/>
        <v>会计学</v>
      </c>
      <c r="K184" s="6" t="str">
        <f t="shared" si="76"/>
        <v>初级</v>
      </c>
      <c r="L184" s="10" t="s">
        <v>45</v>
      </c>
      <c r="M184" s="6"/>
    </row>
    <row r="185" spans="1:13" ht="30" customHeight="1">
      <c r="A185" s="6">
        <v>183</v>
      </c>
      <c r="B185" s="9"/>
      <c r="C185" s="6" t="str">
        <f>"曾婉"</f>
        <v>曾婉</v>
      </c>
      <c r="D185" s="6" t="str">
        <f aca="true" t="shared" si="79" ref="D185:D194">"女"</f>
        <v>女</v>
      </c>
      <c r="E185" s="6" t="str">
        <f>"1997-04-18"</f>
        <v>1997-04-18</v>
      </c>
      <c r="F185" s="6" t="s">
        <v>18</v>
      </c>
      <c r="G185" s="6" t="str">
        <f t="shared" si="67"/>
        <v>本科</v>
      </c>
      <c r="H185" s="6" t="str">
        <f t="shared" si="68"/>
        <v>学士</v>
      </c>
      <c r="I185" s="6" t="str">
        <f>"三亚学院"</f>
        <v>三亚学院</v>
      </c>
      <c r="J185" s="6" t="str">
        <f>"会计学专业"</f>
        <v>会计学专业</v>
      </c>
      <c r="K185" s="6" t="str">
        <f t="shared" si="76"/>
        <v>初级</v>
      </c>
      <c r="L185" s="10" t="s">
        <v>45</v>
      </c>
      <c r="M185" s="6"/>
    </row>
    <row r="186" spans="1:13" ht="30" customHeight="1">
      <c r="A186" s="6">
        <v>184</v>
      </c>
      <c r="B186" s="9"/>
      <c r="C186" s="6" t="str">
        <f>"黎明馨"</f>
        <v>黎明馨</v>
      </c>
      <c r="D186" s="6" t="str">
        <f t="shared" si="79"/>
        <v>女</v>
      </c>
      <c r="E186" s="6" t="str">
        <f>"1993-08-18"</f>
        <v>1993-08-18</v>
      </c>
      <c r="F186" s="6" t="s">
        <v>62</v>
      </c>
      <c r="G186" s="6" t="str">
        <f t="shared" si="67"/>
        <v>本科</v>
      </c>
      <c r="H186" s="6" t="str">
        <f t="shared" si="68"/>
        <v>学士</v>
      </c>
      <c r="I186" s="6" t="str">
        <f>"海南大学"</f>
        <v>海南大学</v>
      </c>
      <c r="J186" s="6" t="str">
        <f>"会计学（涉外会计方向）"</f>
        <v>会计学（涉外会计方向）</v>
      </c>
      <c r="K186" s="6" t="str">
        <f t="shared" si="76"/>
        <v>初级</v>
      </c>
      <c r="L186" s="10" t="s">
        <v>45</v>
      </c>
      <c r="M186" s="6"/>
    </row>
    <row r="187" spans="1:13" ht="30" customHeight="1">
      <c r="A187" s="6">
        <v>185</v>
      </c>
      <c r="B187" s="9"/>
      <c r="C187" s="6" t="str">
        <f>"潘飞丽"</f>
        <v>潘飞丽</v>
      </c>
      <c r="D187" s="6" t="str">
        <f t="shared" si="79"/>
        <v>女</v>
      </c>
      <c r="E187" s="6" t="str">
        <f>"1995-08-18"</f>
        <v>1995-08-18</v>
      </c>
      <c r="F187" s="6" t="s">
        <v>49</v>
      </c>
      <c r="G187" s="6" t="str">
        <f t="shared" si="67"/>
        <v>本科</v>
      </c>
      <c r="H187" s="6" t="str">
        <f t="shared" si="68"/>
        <v>学士</v>
      </c>
      <c r="I187" s="6" t="str">
        <f>"海南师范大学"</f>
        <v>海南师范大学</v>
      </c>
      <c r="J187" s="6" t="str">
        <f aca="true" t="shared" si="80" ref="J187:J190">"会计学"</f>
        <v>会计学</v>
      </c>
      <c r="K187" s="6" t="str">
        <f t="shared" si="76"/>
        <v>初级</v>
      </c>
      <c r="L187" s="10" t="s">
        <v>45</v>
      </c>
      <c r="M187" s="6"/>
    </row>
    <row r="188" spans="1:13" ht="30" customHeight="1">
      <c r="A188" s="6">
        <v>186</v>
      </c>
      <c r="B188" s="9"/>
      <c r="C188" s="6" t="str">
        <f>"李玉凤"</f>
        <v>李玉凤</v>
      </c>
      <c r="D188" s="6" t="str">
        <f t="shared" si="79"/>
        <v>女</v>
      </c>
      <c r="E188" s="6" t="str">
        <f>"1996-06-07"</f>
        <v>1996-06-07</v>
      </c>
      <c r="F188" s="6" t="s">
        <v>43</v>
      </c>
      <c r="G188" s="6" t="str">
        <f t="shared" si="67"/>
        <v>本科</v>
      </c>
      <c r="H188" s="6" t="str">
        <f t="shared" si="68"/>
        <v>学士</v>
      </c>
      <c r="I188" s="6" t="str">
        <f>"中国地质大学长城学院"</f>
        <v>中国地质大学长城学院</v>
      </c>
      <c r="J188" s="6" t="str">
        <f t="shared" si="80"/>
        <v>会计学</v>
      </c>
      <c r="K188" s="6" t="str">
        <f t="shared" si="76"/>
        <v>初级</v>
      </c>
      <c r="L188" s="10" t="s">
        <v>45</v>
      </c>
      <c r="M188" s="6"/>
    </row>
    <row r="189" spans="1:13" ht="30" customHeight="1">
      <c r="A189" s="6">
        <v>187</v>
      </c>
      <c r="B189" s="9"/>
      <c r="C189" s="6" t="str">
        <f>"李慢晶"</f>
        <v>李慢晶</v>
      </c>
      <c r="D189" s="6" t="str">
        <f t="shared" si="79"/>
        <v>女</v>
      </c>
      <c r="E189" s="6" t="str">
        <f>"1997-07-03"</f>
        <v>1997-07-03</v>
      </c>
      <c r="F189" s="6" t="str">
        <f>"海南省临高县"</f>
        <v>海南省临高县</v>
      </c>
      <c r="G189" s="6" t="str">
        <f t="shared" si="67"/>
        <v>本科</v>
      </c>
      <c r="H189" s="6" t="str">
        <f t="shared" si="68"/>
        <v>学士</v>
      </c>
      <c r="I189" s="6" t="str">
        <f>"海口经济学院"</f>
        <v>海口经济学院</v>
      </c>
      <c r="J189" s="6" t="str">
        <f t="shared" si="80"/>
        <v>会计学</v>
      </c>
      <c r="K189" s="6" t="str">
        <f aca="true" t="shared" si="81" ref="K189:K196">"初级"</f>
        <v>初级</v>
      </c>
      <c r="L189" s="10" t="s">
        <v>45</v>
      </c>
      <c r="M189" s="6"/>
    </row>
    <row r="190" spans="1:13" ht="30" customHeight="1">
      <c r="A190" s="6">
        <v>188</v>
      </c>
      <c r="B190" s="9"/>
      <c r="C190" s="6" t="str">
        <f>"李奕霏"</f>
        <v>李奕霏</v>
      </c>
      <c r="D190" s="6" t="str">
        <f t="shared" si="79"/>
        <v>女</v>
      </c>
      <c r="E190" s="6" t="str">
        <f>"1996-10-24"</f>
        <v>1996-10-24</v>
      </c>
      <c r="F190" s="6" t="str">
        <f>"广东省信宜市"</f>
        <v>广东省信宜市</v>
      </c>
      <c r="G190" s="6" t="str">
        <f t="shared" si="67"/>
        <v>本科</v>
      </c>
      <c r="H190" s="6" t="str">
        <f t="shared" si="68"/>
        <v>学士</v>
      </c>
      <c r="I190" s="6" t="str">
        <f>"武汉工商学院"</f>
        <v>武汉工商学院</v>
      </c>
      <c r="J190" s="6" t="str">
        <f t="shared" si="80"/>
        <v>会计学</v>
      </c>
      <c r="K190" s="6" t="str">
        <f t="shared" si="81"/>
        <v>初级</v>
      </c>
      <c r="L190" s="10" t="s">
        <v>45</v>
      </c>
      <c r="M190" s="6"/>
    </row>
    <row r="191" spans="1:13" ht="30" customHeight="1">
      <c r="A191" s="6">
        <v>189</v>
      </c>
      <c r="B191" s="9"/>
      <c r="C191" s="6" t="str">
        <f>"苏悦"</f>
        <v>苏悦</v>
      </c>
      <c r="D191" s="6" t="str">
        <f t="shared" si="79"/>
        <v>女</v>
      </c>
      <c r="E191" s="6" t="str">
        <f>"1991-01-07"</f>
        <v>1991-01-07</v>
      </c>
      <c r="F191" s="6" t="s">
        <v>25</v>
      </c>
      <c r="G191" s="6" t="str">
        <f t="shared" si="67"/>
        <v>本科</v>
      </c>
      <c r="H191" s="6" t="str">
        <f t="shared" si="68"/>
        <v>学士</v>
      </c>
      <c r="I191" s="6" t="str">
        <f>"大连大学"</f>
        <v>大连大学</v>
      </c>
      <c r="J191" s="6" t="str">
        <f>"财会专业"</f>
        <v>财会专业</v>
      </c>
      <c r="K191" s="6" t="str">
        <f t="shared" si="81"/>
        <v>初级</v>
      </c>
      <c r="L191" s="10" t="s">
        <v>45</v>
      </c>
      <c r="M191" s="6"/>
    </row>
    <row r="192" spans="1:13" ht="30" customHeight="1">
      <c r="A192" s="6">
        <v>190</v>
      </c>
      <c r="B192" s="9"/>
      <c r="C192" s="6" t="str">
        <f>"陈坤秀"</f>
        <v>陈坤秀</v>
      </c>
      <c r="D192" s="6" t="str">
        <f t="shared" si="79"/>
        <v>女</v>
      </c>
      <c r="E192" s="6" t="str">
        <f>"1997-12-27"</f>
        <v>1997-12-27</v>
      </c>
      <c r="F192" s="6" t="str">
        <f>"海南省临高县"</f>
        <v>海南省临高县</v>
      </c>
      <c r="G192" s="6" t="str">
        <f t="shared" si="67"/>
        <v>本科</v>
      </c>
      <c r="H192" s="6" t="str">
        <f t="shared" si="68"/>
        <v>学士</v>
      </c>
      <c r="I192" s="6" t="str">
        <f>"江西财经大学现代经济管理学院"</f>
        <v>江西财经大学现代经济管理学院</v>
      </c>
      <c r="J192" s="6" t="str">
        <f aca="true" t="shared" si="82" ref="J192:J197">"会计学"</f>
        <v>会计学</v>
      </c>
      <c r="K192" s="6" t="str">
        <f t="shared" si="81"/>
        <v>初级</v>
      </c>
      <c r="L192" s="10" t="s">
        <v>45</v>
      </c>
      <c r="M192" s="6"/>
    </row>
    <row r="193" spans="1:13" ht="30" customHeight="1">
      <c r="A193" s="6">
        <v>191</v>
      </c>
      <c r="B193" s="9"/>
      <c r="C193" s="6" t="str">
        <f>"林彩玉"</f>
        <v>林彩玉</v>
      </c>
      <c r="D193" s="6" t="str">
        <f t="shared" si="79"/>
        <v>女</v>
      </c>
      <c r="E193" s="6" t="str">
        <f>"1997-09-03"</f>
        <v>1997-09-03</v>
      </c>
      <c r="F193" s="6" t="s">
        <v>25</v>
      </c>
      <c r="G193" s="6" t="str">
        <f t="shared" si="67"/>
        <v>本科</v>
      </c>
      <c r="H193" s="6" t="str">
        <f t="shared" si="68"/>
        <v>学士</v>
      </c>
      <c r="I193" s="6" t="str">
        <f>"南华大学"</f>
        <v>南华大学</v>
      </c>
      <c r="J193" s="6" t="str">
        <f t="shared" si="82"/>
        <v>会计学</v>
      </c>
      <c r="K193" s="6" t="str">
        <f t="shared" si="81"/>
        <v>初级</v>
      </c>
      <c r="L193" s="10" t="s">
        <v>45</v>
      </c>
      <c r="M193" s="6"/>
    </row>
    <row r="194" spans="1:13" ht="30" customHeight="1">
      <c r="A194" s="6">
        <v>192</v>
      </c>
      <c r="B194" s="9"/>
      <c r="C194" s="6" t="str">
        <f>"张瑜"</f>
        <v>张瑜</v>
      </c>
      <c r="D194" s="6" t="str">
        <f t="shared" si="79"/>
        <v>女</v>
      </c>
      <c r="E194" s="6" t="str">
        <f>"1994-09-14"</f>
        <v>1994-09-14</v>
      </c>
      <c r="F194" s="6" t="str">
        <f>"海南省海口市"</f>
        <v>海南省海口市</v>
      </c>
      <c r="G194" s="6" t="str">
        <f t="shared" si="67"/>
        <v>本科</v>
      </c>
      <c r="H194" s="6" t="str">
        <f t="shared" si="68"/>
        <v>学士</v>
      </c>
      <c r="I194" s="6" t="str">
        <f>"江西科技学院"</f>
        <v>江西科技学院</v>
      </c>
      <c r="J194" s="6" t="str">
        <f t="shared" si="82"/>
        <v>会计学</v>
      </c>
      <c r="K194" s="6" t="str">
        <f t="shared" si="81"/>
        <v>初级</v>
      </c>
      <c r="L194" s="10" t="s">
        <v>45</v>
      </c>
      <c r="M194" s="6"/>
    </row>
    <row r="195" spans="1:13" ht="30" customHeight="1">
      <c r="A195" s="6">
        <v>193</v>
      </c>
      <c r="B195" s="9"/>
      <c r="C195" s="6" t="str">
        <f>"李光瑞"</f>
        <v>李光瑞</v>
      </c>
      <c r="D195" s="6" t="str">
        <f>"男"</f>
        <v>男</v>
      </c>
      <c r="E195" s="6" t="str">
        <f>"1998-02-18"</f>
        <v>1998-02-18</v>
      </c>
      <c r="F195" s="6" t="str">
        <f>"海南省万宁市"</f>
        <v>海南省万宁市</v>
      </c>
      <c r="G195" s="6" t="str">
        <f t="shared" si="67"/>
        <v>本科</v>
      </c>
      <c r="H195" s="6" t="str">
        <f t="shared" si="68"/>
        <v>学士</v>
      </c>
      <c r="I195" s="6" t="str">
        <f>"云南大学旅游文化学院"</f>
        <v>云南大学旅游文化学院</v>
      </c>
      <c r="J195" s="6" t="str">
        <f t="shared" si="82"/>
        <v>会计学</v>
      </c>
      <c r="K195" s="6" t="str">
        <f t="shared" si="81"/>
        <v>初级</v>
      </c>
      <c r="L195" s="10" t="s">
        <v>45</v>
      </c>
      <c r="M195" s="6"/>
    </row>
    <row r="196" spans="1:13" ht="30" customHeight="1">
      <c r="A196" s="6">
        <v>194</v>
      </c>
      <c r="B196" s="9"/>
      <c r="C196" s="6" t="str">
        <f>"夏耀武"</f>
        <v>夏耀武</v>
      </c>
      <c r="D196" s="6" t="str">
        <f>"男"</f>
        <v>男</v>
      </c>
      <c r="E196" s="6" t="str">
        <f>"1998-06-14"</f>
        <v>1998-06-14</v>
      </c>
      <c r="F196" s="6" t="s">
        <v>78</v>
      </c>
      <c r="G196" s="6" t="str">
        <f t="shared" si="67"/>
        <v>本科</v>
      </c>
      <c r="H196" s="6" t="str">
        <f t="shared" si="68"/>
        <v>学士</v>
      </c>
      <c r="I196" s="6" t="str">
        <f>"济南大学"</f>
        <v>济南大学</v>
      </c>
      <c r="J196" s="6" t="str">
        <f t="shared" si="82"/>
        <v>会计学</v>
      </c>
      <c r="K196" s="6" t="str">
        <f t="shared" si="81"/>
        <v>初级</v>
      </c>
      <c r="L196" s="10" t="s">
        <v>45</v>
      </c>
      <c r="M196" s="6"/>
    </row>
    <row r="197" spans="1:13" ht="30" customHeight="1">
      <c r="A197" s="6">
        <v>195</v>
      </c>
      <c r="B197" s="9"/>
      <c r="C197" s="6" t="str">
        <f>"吴惠贞"</f>
        <v>吴惠贞</v>
      </c>
      <c r="D197" s="6" t="str">
        <f aca="true" t="shared" si="83" ref="D197:D210">"女"</f>
        <v>女</v>
      </c>
      <c r="E197" s="6" t="str">
        <f>"1988-04-18"</f>
        <v>1988-04-18</v>
      </c>
      <c r="F197" s="6" t="str">
        <f>"广东省汕头市"</f>
        <v>广东省汕头市</v>
      </c>
      <c r="G197" s="6" t="str">
        <f t="shared" si="67"/>
        <v>本科</v>
      </c>
      <c r="H197" s="6" t="str">
        <f t="shared" si="68"/>
        <v>学士</v>
      </c>
      <c r="I197" s="6" t="str">
        <f>"海南大学"</f>
        <v>海南大学</v>
      </c>
      <c r="J197" s="6" t="str">
        <f t="shared" si="82"/>
        <v>会计学</v>
      </c>
      <c r="K197" s="6" t="s">
        <v>15</v>
      </c>
      <c r="L197" s="10" t="s">
        <v>45</v>
      </c>
      <c r="M197" s="6"/>
    </row>
    <row r="198" spans="1:13" ht="30" customHeight="1">
      <c r="A198" s="6">
        <v>196</v>
      </c>
      <c r="B198" s="9"/>
      <c r="C198" s="6" t="str">
        <f>"谢雅靖"</f>
        <v>谢雅靖</v>
      </c>
      <c r="D198" s="6" t="str">
        <f t="shared" si="83"/>
        <v>女</v>
      </c>
      <c r="E198" s="6" t="str">
        <f>"1990-08-17"</f>
        <v>1990-08-17</v>
      </c>
      <c r="F198" s="6" t="s">
        <v>25</v>
      </c>
      <c r="G198" s="6" t="str">
        <f aca="true" t="shared" si="84" ref="G198:G229">"本科"</f>
        <v>本科</v>
      </c>
      <c r="H198" s="6" t="str">
        <f t="shared" si="68"/>
        <v>学士</v>
      </c>
      <c r="I198" s="6" t="str">
        <f>"辽宁财贸学院"</f>
        <v>辽宁财贸学院</v>
      </c>
      <c r="J198" s="6" t="str">
        <f>"会计"</f>
        <v>会计</v>
      </c>
      <c r="K198" s="6" t="s">
        <v>15</v>
      </c>
      <c r="L198" s="10" t="s">
        <v>45</v>
      </c>
      <c r="M198" s="6"/>
    </row>
    <row r="199" spans="1:13" ht="30" customHeight="1">
      <c r="A199" s="6">
        <v>197</v>
      </c>
      <c r="B199" s="9"/>
      <c r="C199" s="6" t="str">
        <f>"林兰雯"</f>
        <v>林兰雯</v>
      </c>
      <c r="D199" s="6" t="str">
        <f t="shared" si="83"/>
        <v>女</v>
      </c>
      <c r="E199" s="6" t="str">
        <f>"1996-04-28"</f>
        <v>1996-04-28</v>
      </c>
      <c r="F199" s="6" t="s">
        <v>49</v>
      </c>
      <c r="G199" s="6" t="str">
        <f t="shared" si="84"/>
        <v>本科</v>
      </c>
      <c r="H199" s="6" t="str">
        <f t="shared" si="68"/>
        <v>学士</v>
      </c>
      <c r="I199" s="6" t="str">
        <f>"西京学院"</f>
        <v>西京学院</v>
      </c>
      <c r="J199" s="6" t="str">
        <f aca="true" t="shared" si="85" ref="J199:J211">"会计学"</f>
        <v>会计学</v>
      </c>
      <c r="K199" s="6" t="str">
        <f>"初级"</f>
        <v>初级</v>
      </c>
      <c r="L199" s="10" t="s">
        <v>45</v>
      </c>
      <c r="M199" s="6"/>
    </row>
    <row r="200" spans="1:13" ht="30" customHeight="1">
      <c r="A200" s="6">
        <v>198</v>
      </c>
      <c r="B200" s="9"/>
      <c r="C200" s="6" t="str">
        <f>"谢雪梅"</f>
        <v>谢雪梅</v>
      </c>
      <c r="D200" s="6" t="str">
        <f t="shared" si="83"/>
        <v>女</v>
      </c>
      <c r="E200" s="6" t="str">
        <f>"1991-07-13"</f>
        <v>1991-07-13</v>
      </c>
      <c r="F200" s="6" t="s">
        <v>18</v>
      </c>
      <c r="G200" s="6" t="str">
        <f t="shared" si="84"/>
        <v>本科</v>
      </c>
      <c r="H200" s="6" t="str">
        <f t="shared" si="68"/>
        <v>学士</v>
      </c>
      <c r="I200" s="6" t="str">
        <f>"北京化工大学北方学院"</f>
        <v>北京化工大学北方学院</v>
      </c>
      <c r="J200" s="6" t="str">
        <f t="shared" si="85"/>
        <v>会计学</v>
      </c>
      <c r="K200" s="6" t="str">
        <f aca="true" t="shared" si="86" ref="K200:K206">"初级"</f>
        <v>初级</v>
      </c>
      <c r="L200" s="10" t="s">
        <v>45</v>
      </c>
      <c r="M200" s="6"/>
    </row>
    <row r="201" spans="1:13" ht="30" customHeight="1">
      <c r="A201" s="6">
        <v>199</v>
      </c>
      <c r="B201" s="9"/>
      <c r="C201" s="6" t="str">
        <f>"陈倩"</f>
        <v>陈倩</v>
      </c>
      <c r="D201" s="6" t="str">
        <f t="shared" si="83"/>
        <v>女</v>
      </c>
      <c r="E201" s="6" t="str">
        <f>"1998-03-05"</f>
        <v>1998-03-05</v>
      </c>
      <c r="F201" s="6" t="s">
        <v>79</v>
      </c>
      <c r="G201" s="6" t="str">
        <f t="shared" si="84"/>
        <v>本科</v>
      </c>
      <c r="H201" s="6" t="str">
        <f t="shared" si="68"/>
        <v>学士</v>
      </c>
      <c r="I201" s="6" t="str">
        <f>"辽宁财贸学院"</f>
        <v>辽宁财贸学院</v>
      </c>
      <c r="J201" s="6" t="str">
        <f t="shared" si="85"/>
        <v>会计学</v>
      </c>
      <c r="K201" s="6" t="str">
        <f t="shared" si="86"/>
        <v>初级</v>
      </c>
      <c r="L201" s="10" t="s">
        <v>45</v>
      </c>
      <c r="M201" s="6"/>
    </row>
    <row r="202" spans="1:13" ht="30" customHeight="1">
      <c r="A202" s="6">
        <v>200</v>
      </c>
      <c r="B202" s="9"/>
      <c r="C202" s="6" t="str">
        <f>"刘叶"</f>
        <v>刘叶</v>
      </c>
      <c r="D202" s="6" t="str">
        <f t="shared" si="83"/>
        <v>女</v>
      </c>
      <c r="E202" s="6" t="str">
        <f>"1997-11-29"</f>
        <v>1997-11-29</v>
      </c>
      <c r="F202" s="6" t="str">
        <f>"海南省澄迈县"</f>
        <v>海南省澄迈县</v>
      </c>
      <c r="G202" s="6" t="str">
        <f t="shared" si="84"/>
        <v>本科</v>
      </c>
      <c r="H202" s="6" t="str">
        <f t="shared" si="68"/>
        <v>学士</v>
      </c>
      <c r="I202" s="6" t="str">
        <f>"云南大学旅游文化学院"</f>
        <v>云南大学旅游文化学院</v>
      </c>
      <c r="J202" s="6" t="str">
        <f t="shared" si="85"/>
        <v>会计学</v>
      </c>
      <c r="K202" s="6" t="str">
        <f t="shared" si="86"/>
        <v>初级</v>
      </c>
      <c r="L202" s="10" t="s">
        <v>45</v>
      </c>
      <c r="M202" s="6"/>
    </row>
    <row r="203" spans="1:13" ht="30" customHeight="1">
      <c r="A203" s="6">
        <v>201</v>
      </c>
      <c r="B203" s="9"/>
      <c r="C203" s="6" t="str">
        <f>"张小萍"</f>
        <v>张小萍</v>
      </c>
      <c r="D203" s="6" t="str">
        <f t="shared" si="83"/>
        <v>女</v>
      </c>
      <c r="E203" s="6" t="str">
        <f>"1991-04-26"</f>
        <v>1991-04-26</v>
      </c>
      <c r="F203" s="6" t="str">
        <f>"海南省澄迈县"</f>
        <v>海南省澄迈县</v>
      </c>
      <c r="G203" s="6" t="str">
        <f t="shared" si="84"/>
        <v>本科</v>
      </c>
      <c r="H203" s="6" t="str">
        <f t="shared" si="68"/>
        <v>学士</v>
      </c>
      <c r="I203" s="6" t="str">
        <f>"延边大学"</f>
        <v>延边大学</v>
      </c>
      <c r="J203" s="6" t="str">
        <f t="shared" si="85"/>
        <v>会计学</v>
      </c>
      <c r="K203" s="6" t="str">
        <f t="shared" si="86"/>
        <v>初级</v>
      </c>
      <c r="L203" s="10" t="s">
        <v>45</v>
      </c>
      <c r="M203" s="6"/>
    </row>
    <row r="204" spans="1:13" ht="30" customHeight="1">
      <c r="A204" s="6">
        <v>202</v>
      </c>
      <c r="B204" s="9"/>
      <c r="C204" s="6" t="str">
        <f>"潘小冰"</f>
        <v>潘小冰</v>
      </c>
      <c r="D204" s="6" t="str">
        <f t="shared" si="83"/>
        <v>女</v>
      </c>
      <c r="E204" s="6" t="str">
        <f>"1995-09-05"</f>
        <v>1995-09-05</v>
      </c>
      <c r="F204" s="6" t="s">
        <v>34</v>
      </c>
      <c r="G204" s="6" t="str">
        <f t="shared" si="84"/>
        <v>本科</v>
      </c>
      <c r="H204" s="6" t="str">
        <f t="shared" si="68"/>
        <v>学士</v>
      </c>
      <c r="I204" s="6" t="str">
        <f>"广东金融学院"</f>
        <v>广东金融学院</v>
      </c>
      <c r="J204" s="6" t="str">
        <f t="shared" si="85"/>
        <v>会计学</v>
      </c>
      <c r="K204" s="6" t="str">
        <f t="shared" si="86"/>
        <v>初级</v>
      </c>
      <c r="L204" s="10" t="s">
        <v>45</v>
      </c>
      <c r="M204" s="6"/>
    </row>
    <row r="205" spans="1:13" ht="30" customHeight="1">
      <c r="A205" s="6">
        <v>203</v>
      </c>
      <c r="B205" s="9"/>
      <c r="C205" s="6" t="str">
        <f>"倪翠玉"</f>
        <v>倪翠玉</v>
      </c>
      <c r="D205" s="6" t="str">
        <f t="shared" si="83"/>
        <v>女</v>
      </c>
      <c r="E205" s="6" t="str">
        <f>"1994-10-21"</f>
        <v>1994-10-21</v>
      </c>
      <c r="F205" s="6" t="s">
        <v>68</v>
      </c>
      <c r="G205" s="6" t="str">
        <f t="shared" si="84"/>
        <v>本科</v>
      </c>
      <c r="H205" s="6" t="str">
        <f t="shared" si="68"/>
        <v>学士</v>
      </c>
      <c r="I205" s="6" t="str">
        <f>"广东财经大学华商学院"</f>
        <v>广东财经大学华商学院</v>
      </c>
      <c r="J205" s="6" t="str">
        <f t="shared" si="85"/>
        <v>会计学</v>
      </c>
      <c r="K205" s="6" t="str">
        <f t="shared" si="86"/>
        <v>初级</v>
      </c>
      <c r="L205" s="10" t="s">
        <v>45</v>
      </c>
      <c r="M205" s="6"/>
    </row>
    <row r="206" spans="1:13" ht="30" customHeight="1">
      <c r="A206" s="6">
        <v>204</v>
      </c>
      <c r="B206" s="9"/>
      <c r="C206" s="6" t="str">
        <f>"唐祥妃"</f>
        <v>唐祥妃</v>
      </c>
      <c r="D206" s="6" t="str">
        <f t="shared" si="83"/>
        <v>女</v>
      </c>
      <c r="E206" s="6" t="str">
        <f>"1994-05-20"</f>
        <v>1994-05-20</v>
      </c>
      <c r="F206" s="6" t="s">
        <v>46</v>
      </c>
      <c r="G206" s="6" t="str">
        <f t="shared" si="84"/>
        <v>本科</v>
      </c>
      <c r="H206" s="6" t="str">
        <f t="shared" si="68"/>
        <v>学士</v>
      </c>
      <c r="I206" s="6" t="str">
        <f>"长春理工大学"</f>
        <v>长春理工大学</v>
      </c>
      <c r="J206" s="6" t="str">
        <f t="shared" si="85"/>
        <v>会计学</v>
      </c>
      <c r="K206" s="6" t="str">
        <f t="shared" si="86"/>
        <v>初级</v>
      </c>
      <c r="L206" s="10" t="s">
        <v>45</v>
      </c>
      <c r="M206" s="6"/>
    </row>
    <row r="207" spans="1:13" ht="30" customHeight="1">
      <c r="A207" s="6">
        <v>205</v>
      </c>
      <c r="B207" s="9"/>
      <c r="C207" s="6" t="str">
        <f>"方学娜"</f>
        <v>方学娜</v>
      </c>
      <c r="D207" s="6" t="str">
        <f t="shared" si="83"/>
        <v>女</v>
      </c>
      <c r="E207" s="6" t="str">
        <f>"1992-09-27"</f>
        <v>1992-09-27</v>
      </c>
      <c r="F207" s="6" t="s">
        <v>43</v>
      </c>
      <c r="G207" s="6" t="str">
        <f t="shared" si="84"/>
        <v>本科</v>
      </c>
      <c r="H207" s="6" t="str">
        <f t="shared" si="68"/>
        <v>学士</v>
      </c>
      <c r="I207" s="6" t="str">
        <f>"湖北大学"</f>
        <v>湖北大学</v>
      </c>
      <c r="J207" s="6" t="str">
        <f t="shared" si="85"/>
        <v>会计学</v>
      </c>
      <c r="K207" s="6" t="s">
        <v>15</v>
      </c>
      <c r="L207" s="10" t="s">
        <v>45</v>
      </c>
      <c r="M207" s="6"/>
    </row>
    <row r="208" spans="1:13" ht="30" customHeight="1">
      <c r="A208" s="6">
        <v>206</v>
      </c>
      <c r="B208" s="9"/>
      <c r="C208" s="6" t="str">
        <f>"吴秋颜"</f>
        <v>吴秋颜</v>
      </c>
      <c r="D208" s="6" t="str">
        <f t="shared" si="83"/>
        <v>女</v>
      </c>
      <c r="E208" s="6" t="str">
        <f>"1995-03-10"</f>
        <v>1995-03-10</v>
      </c>
      <c r="F208" s="6" t="s">
        <v>25</v>
      </c>
      <c r="G208" s="6" t="str">
        <f t="shared" si="84"/>
        <v>本科</v>
      </c>
      <c r="H208" s="6" t="str">
        <f t="shared" si="68"/>
        <v>学士</v>
      </c>
      <c r="I208" s="6" t="str">
        <f>"江苏科技大学"</f>
        <v>江苏科技大学</v>
      </c>
      <c r="J208" s="6" t="str">
        <f t="shared" si="85"/>
        <v>会计学</v>
      </c>
      <c r="K208" s="6" t="str">
        <f>"初级"</f>
        <v>初级</v>
      </c>
      <c r="L208" s="10" t="s">
        <v>45</v>
      </c>
      <c r="M208" s="6"/>
    </row>
    <row r="209" spans="1:13" ht="30" customHeight="1">
      <c r="A209" s="6">
        <v>207</v>
      </c>
      <c r="B209" s="9"/>
      <c r="C209" s="6" t="str">
        <f>"谢尚洁"</f>
        <v>谢尚洁</v>
      </c>
      <c r="D209" s="6" t="str">
        <f t="shared" si="83"/>
        <v>女</v>
      </c>
      <c r="E209" s="6" t="str">
        <f>"1998-04-01"</f>
        <v>1998-04-01</v>
      </c>
      <c r="F209" s="6" t="str">
        <f>"海南省海口市"</f>
        <v>海南省海口市</v>
      </c>
      <c r="G209" s="6" t="str">
        <f t="shared" si="84"/>
        <v>本科</v>
      </c>
      <c r="H209" s="6" t="str">
        <f t="shared" si="68"/>
        <v>学士</v>
      </c>
      <c r="I209" s="6" t="str">
        <f>"云南财经大学"</f>
        <v>云南财经大学</v>
      </c>
      <c r="J209" s="6" t="str">
        <f t="shared" si="85"/>
        <v>会计学</v>
      </c>
      <c r="K209" s="6" t="str">
        <f aca="true" t="shared" si="87" ref="K209:K217">"初级"</f>
        <v>初级</v>
      </c>
      <c r="L209" s="10" t="s">
        <v>45</v>
      </c>
      <c r="M209" s="6"/>
    </row>
    <row r="210" spans="1:13" ht="30" customHeight="1">
      <c r="A210" s="6">
        <v>208</v>
      </c>
      <c r="B210" s="9"/>
      <c r="C210" s="6" t="str">
        <f>"黄海曼"</f>
        <v>黄海曼</v>
      </c>
      <c r="D210" s="6" t="str">
        <f t="shared" si="83"/>
        <v>女</v>
      </c>
      <c r="E210" s="6" t="str">
        <f>"1991-08-21"</f>
        <v>1991-08-21</v>
      </c>
      <c r="F210" s="6" t="s">
        <v>25</v>
      </c>
      <c r="G210" s="6" t="str">
        <f t="shared" si="84"/>
        <v>本科</v>
      </c>
      <c r="H210" s="6" t="str">
        <f t="shared" si="68"/>
        <v>学士</v>
      </c>
      <c r="I210" s="6" t="str">
        <f>"海南大学"</f>
        <v>海南大学</v>
      </c>
      <c r="J210" s="6" t="str">
        <f t="shared" si="85"/>
        <v>会计学</v>
      </c>
      <c r="K210" s="6" t="str">
        <f t="shared" si="87"/>
        <v>初级</v>
      </c>
      <c r="L210" s="10" t="s">
        <v>45</v>
      </c>
      <c r="M210" s="6"/>
    </row>
    <row r="211" spans="1:13" ht="30" customHeight="1">
      <c r="A211" s="6">
        <v>209</v>
      </c>
      <c r="B211" s="9"/>
      <c r="C211" s="6" t="str">
        <f>"瞿麒桐"</f>
        <v>瞿麒桐</v>
      </c>
      <c r="D211" s="6" t="str">
        <f>"男"</f>
        <v>男</v>
      </c>
      <c r="E211" s="6" t="str">
        <f>"1997-09-18"</f>
        <v>1997-09-18</v>
      </c>
      <c r="F211" s="6" t="s">
        <v>25</v>
      </c>
      <c r="G211" s="6" t="str">
        <f t="shared" si="84"/>
        <v>本科</v>
      </c>
      <c r="H211" s="6" t="str">
        <f t="shared" si="68"/>
        <v>学士</v>
      </c>
      <c r="I211" s="6" t="str">
        <f>"海南师范大学"</f>
        <v>海南师范大学</v>
      </c>
      <c r="J211" s="6" t="str">
        <f t="shared" si="85"/>
        <v>会计学</v>
      </c>
      <c r="K211" s="6" t="str">
        <f t="shared" si="87"/>
        <v>初级</v>
      </c>
      <c r="L211" s="10" t="s">
        <v>45</v>
      </c>
      <c r="M211" s="6"/>
    </row>
    <row r="212" spans="1:13" ht="30" customHeight="1">
      <c r="A212" s="6">
        <v>210</v>
      </c>
      <c r="B212" s="9"/>
      <c r="C212" s="6" t="str">
        <f>"邱姿嘉"</f>
        <v>邱姿嘉</v>
      </c>
      <c r="D212" s="6" t="str">
        <f aca="true" t="shared" si="88" ref="D212:D220">"女"</f>
        <v>女</v>
      </c>
      <c r="E212" s="6" t="str">
        <f>"1994-02-06"</f>
        <v>1994-02-06</v>
      </c>
      <c r="F212" s="6" t="str">
        <f>"海南省儋州市"</f>
        <v>海南省儋州市</v>
      </c>
      <c r="G212" s="6" t="str">
        <f t="shared" si="84"/>
        <v>本科</v>
      </c>
      <c r="H212" s="6" t="str">
        <f t="shared" si="68"/>
        <v>学士</v>
      </c>
      <c r="I212" s="6" t="str">
        <f>"海南大学"</f>
        <v>海南大学</v>
      </c>
      <c r="J212" s="6" t="str">
        <f>"会计学（注册会计师方向）"</f>
        <v>会计学（注册会计师方向）</v>
      </c>
      <c r="K212" s="6" t="str">
        <f t="shared" si="87"/>
        <v>初级</v>
      </c>
      <c r="L212" s="10" t="s">
        <v>45</v>
      </c>
      <c r="M212" s="6"/>
    </row>
    <row r="213" spans="1:13" ht="30" customHeight="1">
      <c r="A213" s="6">
        <v>211</v>
      </c>
      <c r="B213" s="9"/>
      <c r="C213" s="6" t="str">
        <f>"徐茹玉"</f>
        <v>徐茹玉</v>
      </c>
      <c r="D213" s="6" t="str">
        <f t="shared" si="88"/>
        <v>女</v>
      </c>
      <c r="E213" s="6" t="str">
        <f>"1995-10-24"</f>
        <v>1995-10-24</v>
      </c>
      <c r="F213" s="6" t="str">
        <f>"江西省丰城市"</f>
        <v>江西省丰城市</v>
      </c>
      <c r="G213" s="6" t="str">
        <f t="shared" si="84"/>
        <v>本科</v>
      </c>
      <c r="H213" s="6" t="str">
        <f t="shared" si="68"/>
        <v>学士</v>
      </c>
      <c r="I213" s="6" t="str">
        <f>"海南师范大学"</f>
        <v>海南师范大学</v>
      </c>
      <c r="J213" s="6" t="str">
        <f aca="true" t="shared" si="89" ref="J213:J220">"会计学"</f>
        <v>会计学</v>
      </c>
      <c r="K213" s="6" t="str">
        <f t="shared" si="87"/>
        <v>初级</v>
      </c>
      <c r="L213" s="10" t="s">
        <v>45</v>
      </c>
      <c r="M213" s="6"/>
    </row>
    <row r="214" spans="1:13" ht="30" customHeight="1">
      <c r="A214" s="6">
        <v>212</v>
      </c>
      <c r="B214" s="9"/>
      <c r="C214" s="6" t="str">
        <f>"梁丽凤"</f>
        <v>梁丽凤</v>
      </c>
      <c r="D214" s="6" t="str">
        <f t="shared" si="88"/>
        <v>女</v>
      </c>
      <c r="E214" s="6" t="str">
        <f>"1996-07-19"</f>
        <v>1996-07-19</v>
      </c>
      <c r="F214" s="6" t="s">
        <v>46</v>
      </c>
      <c r="G214" s="6" t="str">
        <f t="shared" si="84"/>
        <v>本科</v>
      </c>
      <c r="H214" s="6" t="str">
        <f t="shared" si="68"/>
        <v>学士</v>
      </c>
      <c r="I214" s="6" t="str">
        <f>"文华学院"</f>
        <v>文华学院</v>
      </c>
      <c r="J214" s="6" t="str">
        <f t="shared" si="89"/>
        <v>会计学</v>
      </c>
      <c r="K214" s="6" t="str">
        <f t="shared" si="87"/>
        <v>初级</v>
      </c>
      <c r="L214" s="10" t="s">
        <v>45</v>
      </c>
      <c r="M214" s="6"/>
    </row>
    <row r="215" spans="1:13" ht="30" customHeight="1">
      <c r="A215" s="6">
        <v>213</v>
      </c>
      <c r="B215" s="9"/>
      <c r="C215" s="6" t="str">
        <f>"王玲笛"</f>
        <v>王玲笛</v>
      </c>
      <c r="D215" s="6" t="str">
        <f t="shared" si="88"/>
        <v>女</v>
      </c>
      <c r="E215" s="6" t="str">
        <f>"1998-11-02"</f>
        <v>1998-11-02</v>
      </c>
      <c r="F215" s="6" t="s">
        <v>71</v>
      </c>
      <c r="G215" s="6" t="str">
        <f t="shared" si="84"/>
        <v>本科</v>
      </c>
      <c r="H215" s="6" t="str">
        <f t="shared" si="68"/>
        <v>学士</v>
      </c>
      <c r="I215" s="6" t="str">
        <f>"云南师范大学商学院"</f>
        <v>云南师范大学商学院</v>
      </c>
      <c r="J215" s="6" t="str">
        <f t="shared" si="89"/>
        <v>会计学</v>
      </c>
      <c r="K215" s="6" t="str">
        <f t="shared" si="87"/>
        <v>初级</v>
      </c>
      <c r="L215" s="10" t="s">
        <v>45</v>
      </c>
      <c r="M215" s="6"/>
    </row>
    <row r="216" spans="1:13" ht="30" customHeight="1">
      <c r="A216" s="6">
        <v>214</v>
      </c>
      <c r="B216" s="9"/>
      <c r="C216" s="6" t="str">
        <f>"林金玉"</f>
        <v>林金玉</v>
      </c>
      <c r="D216" s="6" t="str">
        <f t="shared" si="88"/>
        <v>女</v>
      </c>
      <c r="E216" s="6" t="str">
        <f>"1993-06-21"</f>
        <v>1993-06-21</v>
      </c>
      <c r="F216" s="6" t="s">
        <v>62</v>
      </c>
      <c r="G216" s="6" t="str">
        <f t="shared" si="84"/>
        <v>本科</v>
      </c>
      <c r="H216" s="6" t="str">
        <f t="shared" si="68"/>
        <v>学士</v>
      </c>
      <c r="I216" s="6" t="str">
        <f>"中南林业科技大学"</f>
        <v>中南林业科技大学</v>
      </c>
      <c r="J216" s="6" t="str">
        <f t="shared" si="89"/>
        <v>会计学</v>
      </c>
      <c r="K216" s="6" t="str">
        <f t="shared" si="87"/>
        <v>初级</v>
      </c>
      <c r="L216" s="10" t="s">
        <v>45</v>
      </c>
      <c r="M216" s="6"/>
    </row>
    <row r="217" spans="1:13" ht="30" customHeight="1">
      <c r="A217" s="6">
        <v>215</v>
      </c>
      <c r="B217" s="9"/>
      <c r="C217" s="6" t="str">
        <f>"姜虹"</f>
        <v>姜虹</v>
      </c>
      <c r="D217" s="6" t="str">
        <f t="shared" si="88"/>
        <v>女</v>
      </c>
      <c r="E217" s="6" t="str">
        <f>"1997-02-04"</f>
        <v>1997-02-04</v>
      </c>
      <c r="F217" s="6" t="str">
        <f>"海南省澄迈县"</f>
        <v>海南省澄迈县</v>
      </c>
      <c r="G217" s="6" t="str">
        <f t="shared" si="84"/>
        <v>本科</v>
      </c>
      <c r="H217" s="6" t="str">
        <f t="shared" si="68"/>
        <v>学士</v>
      </c>
      <c r="I217" s="6" t="str">
        <f>"海口经济学院"</f>
        <v>海口经济学院</v>
      </c>
      <c r="J217" s="6" t="str">
        <f t="shared" si="89"/>
        <v>会计学</v>
      </c>
      <c r="K217" s="6" t="str">
        <f t="shared" si="87"/>
        <v>初级</v>
      </c>
      <c r="L217" s="10" t="s">
        <v>45</v>
      </c>
      <c r="M217" s="6"/>
    </row>
    <row r="218" spans="1:13" ht="30" customHeight="1">
      <c r="A218" s="6">
        <v>216</v>
      </c>
      <c r="B218" s="9"/>
      <c r="C218" s="6" t="str">
        <f>"陈千慧"</f>
        <v>陈千慧</v>
      </c>
      <c r="D218" s="6" t="str">
        <f t="shared" si="88"/>
        <v>女</v>
      </c>
      <c r="E218" s="6" t="str">
        <f>"1996-09-01"</f>
        <v>1996-09-01</v>
      </c>
      <c r="F218" s="6" t="s">
        <v>34</v>
      </c>
      <c r="G218" s="6" t="str">
        <f t="shared" si="84"/>
        <v>本科</v>
      </c>
      <c r="H218" s="6" t="str">
        <f t="shared" si="68"/>
        <v>学士</v>
      </c>
      <c r="I218" s="6" t="str">
        <f>"中南林业科技大学"</f>
        <v>中南林业科技大学</v>
      </c>
      <c r="J218" s="6" t="str">
        <f t="shared" si="89"/>
        <v>会计学</v>
      </c>
      <c r="K218" s="6" t="str">
        <f aca="true" t="shared" si="90" ref="K218:K221">"初级"</f>
        <v>初级</v>
      </c>
      <c r="L218" s="10" t="s">
        <v>45</v>
      </c>
      <c r="M218" s="6"/>
    </row>
    <row r="219" spans="1:13" ht="30" customHeight="1">
      <c r="A219" s="6">
        <v>217</v>
      </c>
      <c r="B219" s="9"/>
      <c r="C219" s="6" t="str">
        <f>"陈晓芳"</f>
        <v>陈晓芳</v>
      </c>
      <c r="D219" s="6" t="str">
        <f t="shared" si="88"/>
        <v>女</v>
      </c>
      <c r="E219" s="6" t="str">
        <f>"1993-05-13"</f>
        <v>1993-05-13</v>
      </c>
      <c r="F219" s="6" t="str">
        <f>"海南省屯昌县"</f>
        <v>海南省屯昌县</v>
      </c>
      <c r="G219" s="6" t="str">
        <f t="shared" si="84"/>
        <v>本科</v>
      </c>
      <c r="H219" s="6" t="str">
        <f t="shared" si="68"/>
        <v>学士</v>
      </c>
      <c r="I219" s="6" t="str">
        <f>"云南师范大学商学院"</f>
        <v>云南师范大学商学院</v>
      </c>
      <c r="J219" s="6" t="str">
        <f t="shared" si="89"/>
        <v>会计学</v>
      </c>
      <c r="K219" s="6" t="str">
        <f t="shared" si="90"/>
        <v>初级</v>
      </c>
      <c r="L219" s="10" t="s">
        <v>45</v>
      </c>
      <c r="M219" s="6"/>
    </row>
    <row r="220" spans="1:13" ht="30" customHeight="1">
      <c r="A220" s="6">
        <v>218</v>
      </c>
      <c r="B220" s="9"/>
      <c r="C220" s="6" t="str">
        <f>"李夏梅"</f>
        <v>李夏梅</v>
      </c>
      <c r="D220" s="6" t="str">
        <f t="shared" si="88"/>
        <v>女</v>
      </c>
      <c r="E220" s="6" t="str">
        <f>"1990-05-25"</f>
        <v>1990-05-25</v>
      </c>
      <c r="F220" s="6" t="str">
        <f>"海南省临高县"</f>
        <v>海南省临高县</v>
      </c>
      <c r="G220" s="6" t="str">
        <f t="shared" si="84"/>
        <v>本科</v>
      </c>
      <c r="H220" s="6" t="str">
        <f t="shared" si="68"/>
        <v>学士</v>
      </c>
      <c r="I220" s="6" t="str">
        <f>"重庆工商大学融智学院"</f>
        <v>重庆工商大学融智学院</v>
      </c>
      <c r="J220" s="6" t="str">
        <f t="shared" si="89"/>
        <v>会计学</v>
      </c>
      <c r="K220" s="6" t="s">
        <v>15</v>
      </c>
      <c r="L220" s="10" t="s">
        <v>45</v>
      </c>
      <c r="M220" s="6"/>
    </row>
    <row r="221" spans="1:13" ht="30" customHeight="1">
      <c r="A221" s="6">
        <v>219</v>
      </c>
      <c r="B221" s="9"/>
      <c r="C221" s="6" t="str">
        <f>"黄显峰"</f>
        <v>黄显峰</v>
      </c>
      <c r="D221" s="6" t="str">
        <f>"男"</f>
        <v>男</v>
      </c>
      <c r="E221" s="6" t="str">
        <f>"1996-09-17"</f>
        <v>1996-09-17</v>
      </c>
      <c r="F221" s="6" t="s">
        <v>39</v>
      </c>
      <c r="G221" s="6" t="str">
        <f t="shared" si="84"/>
        <v>本科</v>
      </c>
      <c r="H221" s="6" t="str">
        <f t="shared" si="68"/>
        <v>学士</v>
      </c>
      <c r="I221" s="6" t="str">
        <f>"海南大学"</f>
        <v>海南大学</v>
      </c>
      <c r="J221" s="6" t="str">
        <f>"会计学(涉外会计方向)"</f>
        <v>会计学(涉外会计方向)</v>
      </c>
      <c r="K221" s="6" t="str">
        <f t="shared" si="90"/>
        <v>初级</v>
      </c>
      <c r="L221" s="10" t="s">
        <v>45</v>
      </c>
      <c r="M221" s="6"/>
    </row>
    <row r="222" spans="1:13" ht="30" customHeight="1">
      <c r="A222" s="6">
        <v>220</v>
      </c>
      <c r="B222" s="9"/>
      <c r="C222" s="6" t="str">
        <f>"肖娜娜"</f>
        <v>肖娜娜</v>
      </c>
      <c r="D222" s="6" t="str">
        <f aca="true" t="shared" si="91" ref="D222:D227">"女"</f>
        <v>女</v>
      </c>
      <c r="E222" s="6" t="str">
        <f>"1992-06-07"</f>
        <v>1992-06-07</v>
      </c>
      <c r="F222" s="6" t="s">
        <v>49</v>
      </c>
      <c r="G222" s="6" t="str">
        <f t="shared" si="84"/>
        <v>本科</v>
      </c>
      <c r="H222" s="6" t="str">
        <f aca="true" t="shared" si="92" ref="H222:H229">"学士"</f>
        <v>学士</v>
      </c>
      <c r="I222" s="6" t="str">
        <f>"海南大学"</f>
        <v>海南大学</v>
      </c>
      <c r="J222" s="6" t="str">
        <f>"会计学（注册会计师方向）"</f>
        <v>会计学（注册会计师方向）</v>
      </c>
      <c r="K222" s="6" t="s">
        <v>15</v>
      </c>
      <c r="L222" s="10" t="s">
        <v>45</v>
      </c>
      <c r="M222" s="6"/>
    </row>
    <row r="223" spans="1:13" ht="30" customHeight="1">
      <c r="A223" s="6">
        <v>221</v>
      </c>
      <c r="B223" s="9"/>
      <c r="C223" s="6" t="str">
        <f>"何玉贤"</f>
        <v>何玉贤</v>
      </c>
      <c r="D223" s="6" t="str">
        <f t="shared" si="91"/>
        <v>女</v>
      </c>
      <c r="E223" s="6" t="str">
        <f>"1989-06-19"</f>
        <v>1989-06-19</v>
      </c>
      <c r="F223" s="6" t="str">
        <f>"海南省海口市"</f>
        <v>海南省海口市</v>
      </c>
      <c r="G223" s="6" t="str">
        <f t="shared" si="84"/>
        <v>本科</v>
      </c>
      <c r="H223" s="6" t="str">
        <f t="shared" si="92"/>
        <v>学士</v>
      </c>
      <c r="I223" s="6" t="str">
        <f>"天津商业大学"</f>
        <v>天津商业大学</v>
      </c>
      <c r="J223" s="6" t="str">
        <f aca="true" t="shared" si="93" ref="J223:J227">"会计学"</f>
        <v>会计学</v>
      </c>
      <c r="K223" s="6" t="str">
        <f>"初级"</f>
        <v>初级</v>
      </c>
      <c r="L223" s="10" t="s">
        <v>45</v>
      </c>
      <c r="M223" s="6"/>
    </row>
    <row r="224" spans="1:13" ht="30" customHeight="1">
      <c r="A224" s="6">
        <v>222</v>
      </c>
      <c r="B224" s="9"/>
      <c r="C224" s="6" t="str">
        <f>"李明珠"</f>
        <v>李明珠</v>
      </c>
      <c r="D224" s="6" t="str">
        <f t="shared" si="91"/>
        <v>女</v>
      </c>
      <c r="E224" s="6" t="str">
        <f>"1992-10-10"</f>
        <v>1992-10-10</v>
      </c>
      <c r="F224" s="6" t="s">
        <v>25</v>
      </c>
      <c r="G224" s="6" t="str">
        <f t="shared" si="84"/>
        <v>本科</v>
      </c>
      <c r="H224" s="6" t="str">
        <f t="shared" si="92"/>
        <v>学士</v>
      </c>
      <c r="I224" s="6" t="str">
        <f>"南昌大学共青学院"</f>
        <v>南昌大学共青学院</v>
      </c>
      <c r="J224" s="6" t="str">
        <f t="shared" si="93"/>
        <v>会计学</v>
      </c>
      <c r="K224" s="6" t="str">
        <f aca="true" t="shared" si="94" ref="K224:K229">"初级"</f>
        <v>初级</v>
      </c>
      <c r="L224" s="10" t="s">
        <v>45</v>
      </c>
      <c r="M224" s="6"/>
    </row>
    <row r="225" spans="1:13" ht="30" customHeight="1">
      <c r="A225" s="6">
        <v>223</v>
      </c>
      <c r="B225" s="9"/>
      <c r="C225" s="6" t="str">
        <f>"施国霞"</f>
        <v>施国霞</v>
      </c>
      <c r="D225" s="6" t="str">
        <f t="shared" si="91"/>
        <v>女</v>
      </c>
      <c r="E225" s="6" t="str">
        <f>"1992-04-15"</f>
        <v>1992-04-15</v>
      </c>
      <c r="F225" s="6" t="s">
        <v>49</v>
      </c>
      <c r="G225" s="6" t="str">
        <f t="shared" si="84"/>
        <v>本科</v>
      </c>
      <c r="H225" s="6" t="str">
        <f t="shared" si="92"/>
        <v>学士</v>
      </c>
      <c r="I225" s="6" t="str">
        <f>"云南师范大学商学院"</f>
        <v>云南师范大学商学院</v>
      </c>
      <c r="J225" s="6" t="str">
        <f t="shared" si="93"/>
        <v>会计学</v>
      </c>
      <c r="K225" s="6" t="str">
        <f t="shared" si="94"/>
        <v>初级</v>
      </c>
      <c r="L225" s="10" t="s">
        <v>45</v>
      </c>
      <c r="M225" s="6"/>
    </row>
    <row r="226" spans="1:13" ht="30" customHeight="1">
      <c r="A226" s="6">
        <v>224</v>
      </c>
      <c r="B226" s="9"/>
      <c r="C226" s="6" t="str">
        <f>"吴云燕"</f>
        <v>吴云燕</v>
      </c>
      <c r="D226" s="6" t="str">
        <f t="shared" si="91"/>
        <v>女</v>
      </c>
      <c r="E226" s="6" t="str">
        <f>"1996-01-29"</f>
        <v>1996-01-29</v>
      </c>
      <c r="F226" s="6" t="str">
        <f>"海南省文昌市"</f>
        <v>海南省文昌市</v>
      </c>
      <c r="G226" s="6" t="str">
        <f t="shared" si="84"/>
        <v>本科</v>
      </c>
      <c r="H226" s="6" t="str">
        <f t="shared" si="92"/>
        <v>学士</v>
      </c>
      <c r="I226" s="6" t="str">
        <f>"中国矿业大学（北京）"</f>
        <v>中国矿业大学（北京）</v>
      </c>
      <c r="J226" s="6" t="str">
        <f t="shared" si="93"/>
        <v>会计学</v>
      </c>
      <c r="K226" s="6" t="str">
        <f t="shared" si="94"/>
        <v>初级</v>
      </c>
      <c r="L226" s="10" t="s">
        <v>45</v>
      </c>
      <c r="M226" s="6"/>
    </row>
    <row r="227" spans="1:13" ht="30" customHeight="1">
      <c r="A227" s="6">
        <v>225</v>
      </c>
      <c r="B227" s="9"/>
      <c r="C227" s="6" t="str">
        <f>"王小柳"</f>
        <v>王小柳</v>
      </c>
      <c r="D227" s="6" t="str">
        <f t="shared" si="91"/>
        <v>女</v>
      </c>
      <c r="E227" s="6" t="str">
        <f>"1996-08-06"</f>
        <v>1996-08-06</v>
      </c>
      <c r="F227" s="6" t="s">
        <v>25</v>
      </c>
      <c r="G227" s="6" t="str">
        <f t="shared" si="84"/>
        <v>本科</v>
      </c>
      <c r="H227" s="6" t="str">
        <f t="shared" si="92"/>
        <v>学士</v>
      </c>
      <c r="I227" s="6" t="str">
        <f>"长春 光华学院"</f>
        <v>长春 光华学院</v>
      </c>
      <c r="J227" s="6" t="str">
        <f t="shared" si="93"/>
        <v>会计学</v>
      </c>
      <c r="K227" s="6" t="str">
        <f t="shared" si="94"/>
        <v>初级</v>
      </c>
      <c r="L227" s="10" t="s">
        <v>45</v>
      </c>
      <c r="M227" s="6"/>
    </row>
    <row r="228" spans="1:13" ht="30" customHeight="1">
      <c r="A228" s="6">
        <v>226</v>
      </c>
      <c r="B228" s="9"/>
      <c r="C228" s="6" t="str">
        <f>"林忠邦"</f>
        <v>林忠邦</v>
      </c>
      <c r="D228" s="6" t="str">
        <f>"男"</f>
        <v>男</v>
      </c>
      <c r="E228" s="6" t="str">
        <f>"1997-03-20"</f>
        <v>1997-03-20</v>
      </c>
      <c r="F228" s="6" t="str">
        <f>"海南省儋州市"</f>
        <v>海南省儋州市</v>
      </c>
      <c r="G228" s="6" t="str">
        <f t="shared" si="84"/>
        <v>本科</v>
      </c>
      <c r="H228" s="6" t="str">
        <f t="shared" si="92"/>
        <v>学士</v>
      </c>
      <c r="I228" s="6" t="str">
        <f>"南宁学院"</f>
        <v>南宁学院</v>
      </c>
      <c r="J228" s="6" t="str">
        <f>"会计学专业"</f>
        <v>会计学专业</v>
      </c>
      <c r="K228" s="6" t="str">
        <f t="shared" si="94"/>
        <v>初级</v>
      </c>
      <c r="L228" s="10" t="s">
        <v>45</v>
      </c>
      <c r="M228" s="6"/>
    </row>
    <row r="229" spans="1:13" ht="30" customHeight="1">
      <c r="A229" s="6">
        <v>227</v>
      </c>
      <c r="B229" s="8"/>
      <c r="C229" s="6" t="str">
        <f>"王妹如"</f>
        <v>王妹如</v>
      </c>
      <c r="D229" s="6" t="str">
        <f>"女"</f>
        <v>女</v>
      </c>
      <c r="E229" s="6" t="str">
        <f>"1989-12-11"</f>
        <v>1989-12-11</v>
      </c>
      <c r="F229" s="6" t="s">
        <v>43</v>
      </c>
      <c r="G229" s="6" t="str">
        <f t="shared" si="84"/>
        <v>本科</v>
      </c>
      <c r="H229" s="6" t="str">
        <f t="shared" si="92"/>
        <v>学士</v>
      </c>
      <c r="I229" s="6" t="str">
        <f>"安阳工学院"</f>
        <v>安阳工学院</v>
      </c>
      <c r="J229" s="6" t="str">
        <f>"会计学"</f>
        <v>会计学</v>
      </c>
      <c r="K229" s="6" t="str">
        <f t="shared" si="94"/>
        <v>初级</v>
      </c>
      <c r="L229" s="10" t="s">
        <v>45</v>
      </c>
      <c r="M229" s="6"/>
    </row>
  </sheetData>
  <sheetProtection/>
  <mergeCells count="18">
    <mergeCell ref="A1:M1"/>
    <mergeCell ref="B4:B5"/>
    <mergeCell ref="B6:B7"/>
    <mergeCell ref="B8:B10"/>
    <mergeCell ref="B14:B16"/>
    <mergeCell ref="B17:B18"/>
    <mergeCell ref="B19:B22"/>
    <mergeCell ref="B23:B24"/>
    <mergeCell ref="B25:B29"/>
    <mergeCell ref="B30:B31"/>
    <mergeCell ref="B32:B40"/>
    <mergeCell ref="B41:B51"/>
    <mergeCell ref="B52:B67"/>
    <mergeCell ref="B68:B74"/>
    <mergeCell ref="B76:B97"/>
    <mergeCell ref="B98:B148"/>
    <mergeCell ref="B149:B157"/>
    <mergeCell ref="B158:B229"/>
  </mergeCells>
  <printOptions/>
  <pageMargins left="0.2" right="0.12" top="0.39" bottom="0.71" header="0.28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2021-02-18T02:47:04Z</dcterms:created>
  <dcterms:modified xsi:type="dcterms:W3CDTF">2021-03-31T08:49:53Z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