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<sst xmlns="http://schemas.openxmlformats.org/spreadsheetml/2006/main" count="497" uniqueCount="17">
  <si>
    <t>三亚市旅游和文化广电体育局2020年公开招聘下属事业单位工作人员资格初审合格进入笔试人员名单</t>
  </si>
  <si>
    <t>序号</t>
  </si>
  <si>
    <t>报考号</t>
  </si>
  <si>
    <t>报考岗位</t>
  </si>
  <si>
    <t>姓名</t>
  </si>
  <si>
    <t>性别</t>
  </si>
  <si>
    <t>出生年月</t>
  </si>
  <si>
    <t>备注</t>
  </si>
  <si>
    <t>0101_阅读活动策划与推广</t>
  </si>
  <si>
    <t>0102_青少年阅读活动策划与推广</t>
  </si>
  <si>
    <t>0103_中文图书编目</t>
  </si>
  <si>
    <t>0104_西文图书编目</t>
  </si>
  <si>
    <t>0105_技术保障与数字资源管理（A)</t>
  </si>
  <si>
    <t>0106_技术保障与数字资源管理(B)</t>
  </si>
  <si>
    <t>0107_综合管理</t>
  </si>
  <si>
    <t>0108_展览策划</t>
  </si>
  <si>
    <t>0109_库房管理员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</si>
</sst>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1"/>
  <sheetViews>
    <sheetView tabSelected="1" workbookViewId="0" topLeftCell="A478">
      <selection activeCell="N490" sqref="N490"/>
    </sheetView>
  </sheetViews>
  <sheetFormatPr defaultColWidth="9.00390625" defaultRowHeight="30" customHeight="1"/>
  <cols>
    <col min="1" max="1" width="9.00390625" style="2" customWidth="1"/>
    <col min="2" max="2" width="23.7109375" style="2" customWidth="1"/>
    <col min="3" max="3" width="30.140625" style="2" customWidth="1"/>
    <col min="4" max="5" width="9.00390625" style="2" customWidth="1"/>
    <col min="6" max="6" width="11.421875" style="2" customWidth="1"/>
    <col min="7" max="16384" width="9.00390625" style="2" customWidth="1"/>
  </cols>
  <sheetData>
    <row r="1" spans="1:7" ht="54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30" customHeight="1">
      <c r="A3" s="6">
        <v>1</v>
      </c>
      <c r="B3" s="7" t="str">
        <f>"2643202010090905325"</f>
        <v>2643202010090905325</v>
      </c>
      <c r="C3" s="7" t="s">
        <v>8</v>
      </c>
      <c r="D3" s="7" t="str">
        <f>"符阳"</f>
        <v>符阳</v>
      </c>
      <c r="E3" s="7" t="str">
        <f>"女"</f>
        <v>女</v>
      </c>
      <c r="F3" s="7" t="str">
        <f>"1994-10-20"</f>
        <v>1994-10-20</v>
      </c>
      <c r="G3" s="6"/>
    </row>
    <row r="4" spans="1:7" ht="30" customHeight="1">
      <c r="A4" s="6">
        <v>2</v>
      </c>
      <c r="B4" s="7" t="str">
        <f>"2643202010090907287"</f>
        <v>2643202010090907287</v>
      </c>
      <c r="C4" s="7" t="s">
        <v>8</v>
      </c>
      <c r="D4" s="7" t="str">
        <f>"周冬瑜"</f>
        <v>周冬瑜</v>
      </c>
      <c r="E4" s="7" t="str">
        <f>"女"</f>
        <v>女</v>
      </c>
      <c r="F4" s="7" t="str">
        <f>"1994-04-20"</f>
        <v>1994-04-20</v>
      </c>
      <c r="G4" s="6"/>
    </row>
    <row r="5" spans="1:7" ht="30" customHeight="1">
      <c r="A5" s="6">
        <v>3</v>
      </c>
      <c r="B5" s="7" t="str">
        <f>"26432020100909114412"</f>
        <v>26432020100909114412</v>
      </c>
      <c r="C5" s="7" t="s">
        <v>8</v>
      </c>
      <c r="D5" s="7" t="str">
        <f>"邱新瑶"</f>
        <v>邱新瑶</v>
      </c>
      <c r="E5" s="7" t="str">
        <f>"女"</f>
        <v>女</v>
      </c>
      <c r="F5" s="7" t="str">
        <f>"1991-06-21"</f>
        <v>1991-06-21</v>
      </c>
      <c r="G5" s="6"/>
    </row>
    <row r="6" spans="1:7" ht="30" customHeight="1">
      <c r="A6" s="6">
        <v>4</v>
      </c>
      <c r="B6" s="7" t="str">
        <f>"26432020100909160014"</f>
        <v>26432020100909160014</v>
      </c>
      <c r="C6" s="7" t="s">
        <v>8</v>
      </c>
      <c r="D6" s="7" t="str">
        <f>"王泽农"</f>
        <v>王泽农</v>
      </c>
      <c r="E6" s="7" t="str">
        <f>"男"</f>
        <v>男</v>
      </c>
      <c r="F6" s="7" t="str">
        <f>"1997-01-23"</f>
        <v>1997-01-23</v>
      </c>
      <c r="G6" s="6"/>
    </row>
    <row r="7" spans="1:7" ht="30" customHeight="1">
      <c r="A7" s="6">
        <v>5</v>
      </c>
      <c r="B7" s="7" t="str">
        <f>"26432020100909164615"</f>
        <v>26432020100909164615</v>
      </c>
      <c r="C7" s="7" t="s">
        <v>8</v>
      </c>
      <c r="D7" s="7" t="str">
        <f>"李姣"</f>
        <v>李姣</v>
      </c>
      <c r="E7" s="7" t="str">
        <f aca="true" t="shared" si="0" ref="E7:E13">"女"</f>
        <v>女</v>
      </c>
      <c r="F7" s="7" t="str">
        <f>"1994-07-20"</f>
        <v>1994-07-20</v>
      </c>
      <c r="G7" s="6"/>
    </row>
    <row r="8" spans="1:7" ht="30" customHeight="1">
      <c r="A8" s="6">
        <v>6</v>
      </c>
      <c r="B8" s="7" t="str">
        <f>"26432020100909550326"</f>
        <v>26432020100909550326</v>
      </c>
      <c r="C8" s="7" t="s">
        <v>8</v>
      </c>
      <c r="D8" s="7" t="str">
        <f>"邓金雪"</f>
        <v>邓金雪</v>
      </c>
      <c r="E8" s="7" t="str">
        <f t="shared" si="0"/>
        <v>女</v>
      </c>
      <c r="F8" s="7" t="str">
        <f>"1992-10-11"</f>
        <v>1992-10-11</v>
      </c>
      <c r="G8" s="6"/>
    </row>
    <row r="9" spans="1:7" ht="30" customHeight="1">
      <c r="A9" s="6">
        <v>7</v>
      </c>
      <c r="B9" s="7" t="str">
        <f>"26432020100910001428"</f>
        <v>26432020100910001428</v>
      </c>
      <c r="C9" s="7" t="s">
        <v>8</v>
      </c>
      <c r="D9" s="7" t="str">
        <f>"麦珠"</f>
        <v>麦珠</v>
      </c>
      <c r="E9" s="7" t="str">
        <f t="shared" si="0"/>
        <v>女</v>
      </c>
      <c r="F9" s="7" t="str">
        <f>"1989-11-26"</f>
        <v>1989-11-26</v>
      </c>
      <c r="G9" s="6"/>
    </row>
    <row r="10" spans="1:7" ht="30" customHeight="1">
      <c r="A10" s="6">
        <v>8</v>
      </c>
      <c r="B10" s="7" t="str">
        <f>"26432020100910134636"</f>
        <v>26432020100910134636</v>
      </c>
      <c r="C10" s="7" t="s">
        <v>8</v>
      </c>
      <c r="D10" s="7" t="str">
        <f>"林珠玛"</f>
        <v>林珠玛</v>
      </c>
      <c r="E10" s="7" t="str">
        <f t="shared" si="0"/>
        <v>女</v>
      </c>
      <c r="F10" s="7" t="str">
        <f>"1990-08-08"</f>
        <v>1990-08-08</v>
      </c>
      <c r="G10" s="6"/>
    </row>
    <row r="11" spans="1:7" ht="30" customHeight="1">
      <c r="A11" s="6">
        <v>9</v>
      </c>
      <c r="B11" s="7" t="str">
        <f>"26432020100910403247"</f>
        <v>26432020100910403247</v>
      </c>
      <c r="C11" s="7" t="s">
        <v>8</v>
      </c>
      <c r="D11" s="7" t="str">
        <f>"吴佩婷"</f>
        <v>吴佩婷</v>
      </c>
      <c r="E11" s="7" t="str">
        <f t="shared" si="0"/>
        <v>女</v>
      </c>
      <c r="F11" s="7" t="str">
        <f>"1988-10-30"</f>
        <v>1988-10-30</v>
      </c>
      <c r="G11" s="6"/>
    </row>
    <row r="12" spans="1:7" ht="30" customHeight="1">
      <c r="A12" s="6">
        <v>10</v>
      </c>
      <c r="B12" s="7" t="str">
        <f>"26432020100910482152"</f>
        <v>26432020100910482152</v>
      </c>
      <c r="C12" s="7" t="s">
        <v>8</v>
      </c>
      <c r="D12" s="7" t="str">
        <f>"苏菊"</f>
        <v>苏菊</v>
      </c>
      <c r="E12" s="7" t="str">
        <f t="shared" si="0"/>
        <v>女</v>
      </c>
      <c r="F12" s="7" t="str">
        <f>"1992-07-05"</f>
        <v>1992-07-05</v>
      </c>
      <c r="G12" s="6"/>
    </row>
    <row r="13" spans="1:7" ht="30" customHeight="1">
      <c r="A13" s="6">
        <v>11</v>
      </c>
      <c r="B13" s="7" t="str">
        <f>"26432020100910485853"</f>
        <v>26432020100910485853</v>
      </c>
      <c r="C13" s="7" t="s">
        <v>8</v>
      </c>
      <c r="D13" s="7" t="str">
        <f>"薛婆荣"</f>
        <v>薛婆荣</v>
      </c>
      <c r="E13" s="7" t="str">
        <f t="shared" si="0"/>
        <v>女</v>
      </c>
      <c r="F13" s="7" t="str">
        <f>"1992-07-08"</f>
        <v>1992-07-08</v>
      </c>
      <c r="G13" s="6"/>
    </row>
    <row r="14" spans="1:7" ht="30" customHeight="1">
      <c r="A14" s="6">
        <v>12</v>
      </c>
      <c r="B14" s="7" t="str">
        <f>"26432020100911080766"</f>
        <v>26432020100911080766</v>
      </c>
      <c r="C14" s="7" t="s">
        <v>8</v>
      </c>
      <c r="D14" s="7" t="str">
        <f>"谢奇昌"</f>
        <v>谢奇昌</v>
      </c>
      <c r="E14" s="7" t="str">
        <f>"男"</f>
        <v>男</v>
      </c>
      <c r="F14" s="7" t="str">
        <f>"1986-03-30"</f>
        <v>1986-03-30</v>
      </c>
      <c r="G14" s="6"/>
    </row>
    <row r="15" spans="1:7" ht="30" customHeight="1">
      <c r="A15" s="6">
        <v>13</v>
      </c>
      <c r="B15" s="7" t="str">
        <f>"26432020100911121369"</f>
        <v>26432020100911121369</v>
      </c>
      <c r="C15" s="7" t="s">
        <v>8</v>
      </c>
      <c r="D15" s="7" t="str">
        <f>"王辉武"</f>
        <v>王辉武</v>
      </c>
      <c r="E15" s="7" t="str">
        <f>"男"</f>
        <v>男</v>
      </c>
      <c r="F15" s="7" t="str">
        <f>"1992-04-23"</f>
        <v>1992-04-23</v>
      </c>
      <c r="G15" s="6"/>
    </row>
    <row r="16" spans="1:7" ht="30" customHeight="1">
      <c r="A16" s="6">
        <v>14</v>
      </c>
      <c r="B16" s="7" t="str">
        <f>"26432020100911485481"</f>
        <v>26432020100911485481</v>
      </c>
      <c r="C16" s="7" t="s">
        <v>8</v>
      </c>
      <c r="D16" s="7" t="str">
        <f>"司徒怡君"</f>
        <v>司徒怡君</v>
      </c>
      <c r="E16" s="7" t="str">
        <f>"女"</f>
        <v>女</v>
      </c>
      <c r="F16" s="7" t="str">
        <f>"1997-11-28"</f>
        <v>1997-11-28</v>
      </c>
      <c r="G16" s="6"/>
    </row>
    <row r="17" spans="1:7" ht="30" customHeight="1">
      <c r="A17" s="6">
        <v>15</v>
      </c>
      <c r="B17" s="7" t="str">
        <f>"26432020100912061283"</f>
        <v>26432020100912061283</v>
      </c>
      <c r="C17" s="7" t="s">
        <v>8</v>
      </c>
      <c r="D17" s="7" t="str">
        <f>"谢耀欣"</f>
        <v>谢耀欣</v>
      </c>
      <c r="E17" s="7" t="str">
        <f>"男"</f>
        <v>男</v>
      </c>
      <c r="F17" s="7" t="str">
        <f>"1995-12-25"</f>
        <v>1995-12-25</v>
      </c>
      <c r="G17" s="6"/>
    </row>
    <row r="18" spans="1:7" ht="30" customHeight="1">
      <c r="A18" s="6">
        <v>16</v>
      </c>
      <c r="B18" s="7" t="str">
        <f>"26432020100912163787"</f>
        <v>26432020100912163787</v>
      </c>
      <c r="C18" s="7" t="s">
        <v>8</v>
      </c>
      <c r="D18" s="7" t="str">
        <f>"黄垂男"</f>
        <v>黄垂男</v>
      </c>
      <c r="E18" s="7" t="str">
        <f>"女"</f>
        <v>女</v>
      </c>
      <c r="F18" s="7" t="str">
        <f>"1991-08-23"</f>
        <v>1991-08-23</v>
      </c>
      <c r="G18" s="6"/>
    </row>
    <row r="19" spans="1:7" ht="30" customHeight="1">
      <c r="A19" s="6">
        <v>17</v>
      </c>
      <c r="B19" s="7" t="str">
        <f>"26432020100912180389"</f>
        <v>26432020100912180389</v>
      </c>
      <c r="C19" s="7" t="s">
        <v>8</v>
      </c>
      <c r="D19" s="7" t="str">
        <f>"林明俊"</f>
        <v>林明俊</v>
      </c>
      <c r="E19" s="7" t="str">
        <f>"男"</f>
        <v>男</v>
      </c>
      <c r="F19" s="7" t="str">
        <f>"1997-09-01"</f>
        <v>1997-09-01</v>
      </c>
      <c r="G19" s="6"/>
    </row>
    <row r="20" spans="1:7" ht="30" customHeight="1">
      <c r="A20" s="6">
        <v>18</v>
      </c>
      <c r="B20" s="7" t="str">
        <f>"26432020100912351596"</f>
        <v>26432020100912351596</v>
      </c>
      <c r="C20" s="7" t="s">
        <v>8</v>
      </c>
      <c r="D20" s="7" t="str">
        <f>"陈太鹏"</f>
        <v>陈太鹏</v>
      </c>
      <c r="E20" s="7" t="str">
        <f>"男"</f>
        <v>男</v>
      </c>
      <c r="F20" s="7" t="str">
        <f>"1992-05-05"</f>
        <v>1992-05-05</v>
      </c>
      <c r="G20" s="6"/>
    </row>
    <row r="21" spans="1:7" ht="30" customHeight="1">
      <c r="A21" s="6">
        <v>19</v>
      </c>
      <c r="B21" s="7" t="str">
        <f>"264320201009124702100"</f>
        <v>264320201009124702100</v>
      </c>
      <c r="C21" s="7" t="s">
        <v>8</v>
      </c>
      <c r="D21" s="7" t="str">
        <f>"卢彬"</f>
        <v>卢彬</v>
      </c>
      <c r="E21" s="7" t="str">
        <f>"男"</f>
        <v>男</v>
      </c>
      <c r="F21" s="7" t="str">
        <f>"1990-08-04"</f>
        <v>1990-08-04</v>
      </c>
      <c r="G21" s="6"/>
    </row>
    <row r="22" spans="1:7" ht="30" customHeight="1">
      <c r="A22" s="6">
        <v>20</v>
      </c>
      <c r="B22" s="7" t="str">
        <f>"264320201009133736107"</f>
        <v>264320201009133736107</v>
      </c>
      <c r="C22" s="7" t="s">
        <v>8</v>
      </c>
      <c r="D22" s="7" t="str">
        <f>"吴春燕"</f>
        <v>吴春燕</v>
      </c>
      <c r="E22" s="7" t="str">
        <f>"女"</f>
        <v>女</v>
      </c>
      <c r="F22" s="7" t="str">
        <f>"1991-11-04"</f>
        <v>1991-11-04</v>
      </c>
      <c r="G22" s="6"/>
    </row>
    <row r="23" spans="1:7" ht="30" customHeight="1">
      <c r="A23" s="6">
        <v>21</v>
      </c>
      <c r="B23" s="7" t="str">
        <f>"264320201009134619110"</f>
        <v>264320201009134619110</v>
      </c>
      <c r="C23" s="7" t="s">
        <v>8</v>
      </c>
      <c r="D23" s="7" t="str">
        <f>"吴朝篷"</f>
        <v>吴朝篷</v>
      </c>
      <c r="E23" s="7" t="str">
        <f>"男"</f>
        <v>男</v>
      </c>
      <c r="F23" s="7" t="str">
        <f>"1993-04-08"</f>
        <v>1993-04-08</v>
      </c>
      <c r="G23" s="6"/>
    </row>
    <row r="24" spans="1:7" ht="30" customHeight="1">
      <c r="A24" s="6">
        <v>22</v>
      </c>
      <c r="B24" s="7" t="str">
        <f>"264320201009135317112"</f>
        <v>264320201009135317112</v>
      </c>
      <c r="C24" s="7" t="s">
        <v>8</v>
      </c>
      <c r="D24" s="7" t="str">
        <f>"林珍"</f>
        <v>林珍</v>
      </c>
      <c r="E24" s="7" t="str">
        <f>"女"</f>
        <v>女</v>
      </c>
      <c r="F24" s="7" t="str">
        <f>"1996-06-01"</f>
        <v>1996-06-01</v>
      </c>
      <c r="G24" s="6"/>
    </row>
    <row r="25" spans="1:7" ht="30" customHeight="1">
      <c r="A25" s="6">
        <v>23</v>
      </c>
      <c r="B25" s="7" t="str">
        <f>"264320201009142204120"</f>
        <v>264320201009142204120</v>
      </c>
      <c r="C25" s="7" t="s">
        <v>8</v>
      </c>
      <c r="D25" s="7" t="str">
        <f>"陈晓奉"</f>
        <v>陈晓奉</v>
      </c>
      <c r="E25" s="7" t="str">
        <f>"女"</f>
        <v>女</v>
      </c>
      <c r="F25" s="7" t="str">
        <f>"1990-03-26"</f>
        <v>1990-03-26</v>
      </c>
      <c r="G25" s="6"/>
    </row>
    <row r="26" spans="1:7" ht="30" customHeight="1">
      <c r="A26" s="6">
        <v>24</v>
      </c>
      <c r="B26" s="7" t="str">
        <f>"264320201009155948135"</f>
        <v>264320201009155948135</v>
      </c>
      <c r="C26" s="7" t="s">
        <v>8</v>
      </c>
      <c r="D26" s="7" t="str">
        <f>"付汝娟"</f>
        <v>付汝娟</v>
      </c>
      <c r="E26" s="7" t="str">
        <f>"女"</f>
        <v>女</v>
      </c>
      <c r="F26" s="7" t="str">
        <f>"1990-12-08"</f>
        <v>1990-12-08</v>
      </c>
      <c r="G26" s="6"/>
    </row>
    <row r="27" spans="1:7" ht="30" customHeight="1">
      <c r="A27" s="6">
        <v>25</v>
      </c>
      <c r="B27" s="7" t="str">
        <f>"264320201009161717141"</f>
        <v>264320201009161717141</v>
      </c>
      <c r="C27" s="7" t="s">
        <v>8</v>
      </c>
      <c r="D27" s="7" t="str">
        <f>"黄芳南"</f>
        <v>黄芳南</v>
      </c>
      <c r="E27" s="7" t="str">
        <f>"女"</f>
        <v>女</v>
      </c>
      <c r="F27" s="7" t="str">
        <f>"1996-11-24"</f>
        <v>1996-11-24</v>
      </c>
      <c r="G27" s="6"/>
    </row>
    <row r="28" spans="1:7" ht="30" customHeight="1">
      <c r="A28" s="6">
        <v>26</v>
      </c>
      <c r="B28" s="7" t="str">
        <f>"264320201009162935145"</f>
        <v>264320201009162935145</v>
      </c>
      <c r="C28" s="7" t="s">
        <v>8</v>
      </c>
      <c r="D28" s="7" t="str">
        <f>"李静洋"</f>
        <v>李静洋</v>
      </c>
      <c r="E28" s="7" t="str">
        <f>"女"</f>
        <v>女</v>
      </c>
      <c r="F28" s="7" t="str">
        <f>"1992-07-01"</f>
        <v>1992-07-01</v>
      </c>
      <c r="G28" s="6"/>
    </row>
    <row r="29" spans="1:7" ht="30" customHeight="1">
      <c r="A29" s="6">
        <v>27</v>
      </c>
      <c r="B29" s="7" t="str">
        <f>"264320201009170011153"</f>
        <v>264320201009170011153</v>
      </c>
      <c r="C29" s="7" t="s">
        <v>8</v>
      </c>
      <c r="D29" s="7" t="str">
        <f>"麦汉壁"</f>
        <v>麦汉壁</v>
      </c>
      <c r="E29" s="7" t="str">
        <f>"男"</f>
        <v>男</v>
      </c>
      <c r="F29" s="7" t="str">
        <f>"1997-03-04"</f>
        <v>1997-03-04</v>
      </c>
      <c r="G29" s="6"/>
    </row>
    <row r="30" spans="1:7" ht="30" customHeight="1">
      <c r="A30" s="6">
        <v>28</v>
      </c>
      <c r="B30" s="7" t="str">
        <f>"264320201009174435168"</f>
        <v>264320201009174435168</v>
      </c>
      <c r="C30" s="7" t="s">
        <v>8</v>
      </c>
      <c r="D30" s="7" t="str">
        <f>"蒋梅"</f>
        <v>蒋梅</v>
      </c>
      <c r="E30" s="7" t="str">
        <f>"女"</f>
        <v>女</v>
      </c>
      <c r="F30" s="7" t="str">
        <f>"1995-01-06"</f>
        <v>1995-01-06</v>
      </c>
      <c r="G30" s="6"/>
    </row>
    <row r="31" spans="1:7" ht="30" customHeight="1">
      <c r="A31" s="6">
        <v>29</v>
      </c>
      <c r="B31" s="7" t="str">
        <f>"264320201009180904173"</f>
        <v>264320201009180904173</v>
      </c>
      <c r="C31" s="7" t="s">
        <v>8</v>
      </c>
      <c r="D31" s="7" t="str">
        <f>"李皎余"</f>
        <v>李皎余</v>
      </c>
      <c r="E31" s="7" t="str">
        <f>"女"</f>
        <v>女</v>
      </c>
      <c r="F31" s="7" t="str">
        <f>"1987-02-04"</f>
        <v>1987-02-04</v>
      </c>
      <c r="G31" s="6"/>
    </row>
    <row r="32" spans="1:7" ht="30" customHeight="1">
      <c r="A32" s="6">
        <v>30</v>
      </c>
      <c r="B32" s="7" t="str">
        <f>"264320201009183546181"</f>
        <v>264320201009183546181</v>
      </c>
      <c r="C32" s="7" t="s">
        <v>8</v>
      </c>
      <c r="D32" s="7" t="str">
        <f>"谢宝卿"</f>
        <v>谢宝卿</v>
      </c>
      <c r="E32" s="7" t="str">
        <f>"女"</f>
        <v>女</v>
      </c>
      <c r="F32" s="7" t="str">
        <f>"1993-10-16"</f>
        <v>1993-10-16</v>
      </c>
      <c r="G32" s="6"/>
    </row>
    <row r="33" spans="1:7" ht="30" customHeight="1">
      <c r="A33" s="6">
        <v>31</v>
      </c>
      <c r="B33" s="7" t="str">
        <f>"264320201009190710185"</f>
        <v>264320201009190710185</v>
      </c>
      <c r="C33" s="7" t="s">
        <v>8</v>
      </c>
      <c r="D33" s="7" t="str">
        <f>"王鑫"</f>
        <v>王鑫</v>
      </c>
      <c r="E33" s="7" t="str">
        <f>"男"</f>
        <v>男</v>
      </c>
      <c r="F33" s="7" t="str">
        <f>"1996-05-09"</f>
        <v>1996-05-09</v>
      </c>
      <c r="G33" s="6"/>
    </row>
    <row r="34" spans="1:7" ht="30" customHeight="1">
      <c r="A34" s="6">
        <v>32</v>
      </c>
      <c r="B34" s="7" t="str">
        <f>"264320201009193659195"</f>
        <v>264320201009193659195</v>
      </c>
      <c r="C34" s="7" t="s">
        <v>8</v>
      </c>
      <c r="D34" s="7" t="str">
        <f>"曾珊珊"</f>
        <v>曾珊珊</v>
      </c>
      <c r="E34" s="7" t="str">
        <f>"女"</f>
        <v>女</v>
      </c>
      <c r="F34" s="7" t="str">
        <f>"1994-06-16"</f>
        <v>1994-06-16</v>
      </c>
      <c r="G34" s="6"/>
    </row>
    <row r="35" spans="1:7" ht="30" customHeight="1">
      <c r="A35" s="6">
        <v>33</v>
      </c>
      <c r="B35" s="7" t="str">
        <f>"264320201009210246210"</f>
        <v>264320201009210246210</v>
      </c>
      <c r="C35" s="7" t="s">
        <v>8</v>
      </c>
      <c r="D35" s="7" t="str">
        <f>"林梅雪"</f>
        <v>林梅雪</v>
      </c>
      <c r="E35" s="7" t="str">
        <f>"女"</f>
        <v>女</v>
      </c>
      <c r="F35" s="7" t="str">
        <f>"1992-05-18"</f>
        <v>1992-05-18</v>
      </c>
      <c r="G35" s="6"/>
    </row>
    <row r="36" spans="1:7" ht="30" customHeight="1">
      <c r="A36" s="6">
        <v>34</v>
      </c>
      <c r="B36" s="7" t="str">
        <f>"264320201009210310211"</f>
        <v>264320201009210310211</v>
      </c>
      <c r="C36" s="7" t="s">
        <v>8</v>
      </c>
      <c r="D36" s="7" t="str">
        <f>"陈道新"</f>
        <v>陈道新</v>
      </c>
      <c r="E36" s="7" t="str">
        <f>"男"</f>
        <v>男</v>
      </c>
      <c r="F36" s="7" t="str">
        <f>"1993-06-08"</f>
        <v>1993-06-08</v>
      </c>
      <c r="G36" s="6"/>
    </row>
    <row r="37" spans="1:7" ht="30" customHeight="1">
      <c r="A37" s="6">
        <v>35</v>
      </c>
      <c r="B37" s="7" t="str">
        <f>"264320201009212115215"</f>
        <v>264320201009212115215</v>
      </c>
      <c r="C37" s="7" t="s">
        <v>8</v>
      </c>
      <c r="D37" s="7" t="str">
        <f>" 郑亮"</f>
        <v> 郑亮</v>
      </c>
      <c r="E37" s="7" t="str">
        <f>"男"</f>
        <v>男</v>
      </c>
      <c r="F37" s="7" t="str">
        <f>"1992-01-27"</f>
        <v>1992-01-27</v>
      </c>
      <c r="G37" s="6"/>
    </row>
    <row r="38" spans="1:7" ht="30" customHeight="1">
      <c r="A38" s="6">
        <v>36</v>
      </c>
      <c r="B38" s="7" t="str">
        <f>"264320201009215402220"</f>
        <v>264320201009215402220</v>
      </c>
      <c r="C38" s="7" t="s">
        <v>8</v>
      </c>
      <c r="D38" s="7" t="str">
        <f>"廖晓彤"</f>
        <v>廖晓彤</v>
      </c>
      <c r="E38" s="7" t="str">
        <f aca="true" t="shared" si="1" ref="E38:E49">"女"</f>
        <v>女</v>
      </c>
      <c r="F38" s="7" t="str">
        <f>"1996-12-08"</f>
        <v>1996-12-08</v>
      </c>
      <c r="G38" s="6"/>
    </row>
    <row r="39" spans="1:7" ht="30" customHeight="1">
      <c r="A39" s="6">
        <v>37</v>
      </c>
      <c r="B39" s="7" t="str">
        <f>"264320201009220207221"</f>
        <v>264320201009220207221</v>
      </c>
      <c r="C39" s="7" t="s">
        <v>8</v>
      </c>
      <c r="D39" s="7" t="str">
        <f>"李从然"</f>
        <v>李从然</v>
      </c>
      <c r="E39" s="7" t="str">
        <f t="shared" si="1"/>
        <v>女</v>
      </c>
      <c r="F39" s="7" t="str">
        <f>"1993-08-06"</f>
        <v>1993-08-06</v>
      </c>
      <c r="G39" s="6"/>
    </row>
    <row r="40" spans="1:7" ht="30" customHeight="1">
      <c r="A40" s="6">
        <v>38</v>
      </c>
      <c r="B40" s="7" t="str">
        <f>"264320201009230146230"</f>
        <v>264320201009230146230</v>
      </c>
      <c r="C40" s="7" t="s">
        <v>8</v>
      </c>
      <c r="D40" s="7" t="str">
        <f>"李雪芳"</f>
        <v>李雪芳</v>
      </c>
      <c r="E40" s="7" t="str">
        <f t="shared" si="1"/>
        <v>女</v>
      </c>
      <c r="F40" s="7" t="str">
        <f>"1996-09-19"</f>
        <v>1996-09-19</v>
      </c>
      <c r="G40" s="6"/>
    </row>
    <row r="41" spans="1:7" ht="30" customHeight="1">
      <c r="A41" s="6">
        <v>39</v>
      </c>
      <c r="B41" s="7" t="str">
        <f>"264320201009230248231"</f>
        <v>264320201009230248231</v>
      </c>
      <c r="C41" s="7" t="s">
        <v>8</v>
      </c>
      <c r="D41" s="7" t="str">
        <f>"李梦晓"</f>
        <v>李梦晓</v>
      </c>
      <c r="E41" s="7" t="str">
        <f t="shared" si="1"/>
        <v>女</v>
      </c>
      <c r="F41" s="7" t="str">
        <f>"1991-09-19"</f>
        <v>1991-09-19</v>
      </c>
      <c r="G41" s="6"/>
    </row>
    <row r="42" spans="1:7" ht="30" customHeight="1">
      <c r="A42" s="6">
        <v>40</v>
      </c>
      <c r="B42" s="7" t="str">
        <f>"264320201010001231237"</f>
        <v>264320201010001231237</v>
      </c>
      <c r="C42" s="7" t="s">
        <v>8</v>
      </c>
      <c r="D42" s="7" t="str">
        <f>"陈芸"</f>
        <v>陈芸</v>
      </c>
      <c r="E42" s="7" t="str">
        <f t="shared" si="1"/>
        <v>女</v>
      </c>
      <c r="F42" s="7" t="str">
        <f>"1988-01-03"</f>
        <v>1988-01-03</v>
      </c>
      <c r="G42" s="6"/>
    </row>
    <row r="43" spans="1:7" ht="30" customHeight="1">
      <c r="A43" s="6">
        <v>41</v>
      </c>
      <c r="B43" s="7" t="str">
        <f>"264320201010083056247"</f>
        <v>264320201010083056247</v>
      </c>
      <c r="C43" s="7" t="s">
        <v>8</v>
      </c>
      <c r="D43" s="7" t="str">
        <f>"陈名丽"</f>
        <v>陈名丽</v>
      </c>
      <c r="E43" s="7" t="str">
        <f t="shared" si="1"/>
        <v>女</v>
      </c>
      <c r="F43" s="7" t="str">
        <f>"1994-05-18"</f>
        <v>1994-05-18</v>
      </c>
      <c r="G43" s="6"/>
    </row>
    <row r="44" spans="1:7" ht="30" customHeight="1">
      <c r="A44" s="6">
        <v>42</v>
      </c>
      <c r="B44" s="7" t="str">
        <f>"264320201010084107249"</f>
        <v>264320201010084107249</v>
      </c>
      <c r="C44" s="7" t="s">
        <v>8</v>
      </c>
      <c r="D44" s="7" t="str">
        <f>"孙小微"</f>
        <v>孙小微</v>
      </c>
      <c r="E44" s="7" t="str">
        <f t="shared" si="1"/>
        <v>女</v>
      </c>
      <c r="F44" s="7" t="str">
        <f>"1992-07-18"</f>
        <v>1992-07-18</v>
      </c>
      <c r="G44" s="6"/>
    </row>
    <row r="45" spans="1:7" ht="30" customHeight="1">
      <c r="A45" s="6">
        <v>43</v>
      </c>
      <c r="B45" s="7" t="str">
        <f>"264320201010085332250"</f>
        <v>264320201010085332250</v>
      </c>
      <c r="C45" s="7" t="s">
        <v>8</v>
      </c>
      <c r="D45" s="7" t="str">
        <f>"张宇"</f>
        <v>张宇</v>
      </c>
      <c r="E45" s="7" t="str">
        <f t="shared" si="1"/>
        <v>女</v>
      </c>
      <c r="F45" s="7" t="str">
        <f>"1989-02-23"</f>
        <v>1989-02-23</v>
      </c>
      <c r="G45" s="6"/>
    </row>
    <row r="46" spans="1:7" ht="30" customHeight="1">
      <c r="A46" s="6">
        <v>44</v>
      </c>
      <c r="B46" s="7" t="str">
        <f>"264320201010094619260"</f>
        <v>264320201010094619260</v>
      </c>
      <c r="C46" s="7" t="s">
        <v>8</v>
      </c>
      <c r="D46" s="7" t="str">
        <f>"梁钧雅"</f>
        <v>梁钧雅</v>
      </c>
      <c r="E46" s="7" t="str">
        <f t="shared" si="1"/>
        <v>女</v>
      </c>
      <c r="F46" s="7" t="str">
        <f>"1992-10-26"</f>
        <v>1992-10-26</v>
      </c>
      <c r="G46" s="6"/>
    </row>
    <row r="47" spans="1:7" ht="30" customHeight="1">
      <c r="A47" s="6">
        <v>45</v>
      </c>
      <c r="B47" s="7" t="str">
        <f>"264320201010094922261"</f>
        <v>264320201010094922261</v>
      </c>
      <c r="C47" s="7" t="s">
        <v>8</v>
      </c>
      <c r="D47" s="7" t="str">
        <f>"符倩影"</f>
        <v>符倩影</v>
      </c>
      <c r="E47" s="7" t="str">
        <f t="shared" si="1"/>
        <v>女</v>
      </c>
      <c r="F47" s="7" t="str">
        <f>"1993-06-29"</f>
        <v>1993-06-29</v>
      </c>
      <c r="G47" s="6"/>
    </row>
    <row r="48" spans="1:7" ht="30" customHeight="1">
      <c r="A48" s="6">
        <v>46</v>
      </c>
      <c r="B48" s="7" t="str">
        <f>"264320201010095803262"</f>
        <v>264320201010095803262</v>
      </c>
      <c r="C48" s="7" t="s">
        <v>8</v>
      </c>
      <c r="D48" s="7" t="str">
        <f>"龚毓瑶"</f>
        <v>龚毓瑶</v>
      </c>
      <c r="E48" s="7" t="str">
        <f t="shared" si="1"/>
        <v>女</v>
      </c>
      <c r="F48" s="7" t="str">
        <f>"1993-01-04"</f>
        <v>1993-01-04</v>
      </c>
      <c r="G48" s="6"/>
    </row>
    <row r="49" spans="1:7" ht="30" customHeight="1">
      <c r="A49" s="6">
        <v>47</v>
      </c>
      <c r="B49" s="7" t="str">
        <f>"264320201010103620270"</f>
        <v>264320201010103620270</v>
      </c>
      <c r="C49" s="7" t="s">
        <v>8</v>
      </c>
      <c r="D49" s="7" t="str">
        <f>"李佳佳"</f>
        <v>李佳佳</v>
      </c>
      <c r="E49" s="7" t="str">
        <f t="shared" si="1"/>
        <v>女</v>
      </c>
      <c r="F49" s="7" t="str">
        <f>"1986-08-25"</f>
        <v>1986-08-25</v>
      </c>
      <c r="G49" s="6"/>
    </row>
    <row r="50" spans="1:7" ht="30" customHeight="1">
      <c r="A50" s="6">
        <v>48</v>
      </c>
      <c r="B50" s="7" t="str">
        <f>"264320201010103810272"</f>
        <v>264320201010103810272</v>
      </c>
      <c r="C50" s="7" t="s">
        <v>8</v>
      </c>
      <c r="D50" s="7" t="str">
        <f>"曹瀚"</f>
        <v>曹瀚</v>
      </c>
      <c r="E50" s="7" t="str">
        <f>"男"</f>
        <v>男</v>
      </c>
      <c r="F50" s="7" t="str">
        <f>"1990-02-18"</f>
        <v>1990-02-18</v>
      </c>
      <c r="G50" s="6"/>
    </row>
    <row r="51" spans="1:7" ht="30" customHeight="1">
      <c r="A51" s="6">
        <v>49</v>
      </c>
      <c r="B51" s="7" t="str">
        <f>"264320201010134216293"</f>
        <v>264320201010134216293</v>
      </c>
      <c r="C51" s="7" t="s">
        <v>8</v>
      </c>
      <c r="D51" s="7" t="str">
        <f>"陈凤霞"</f>
        <v>陈凤霞</v>
      </c>
      <c r="E51" s="7" t="str">
        <f>"女"</f>
        <v>女</v>
      </c>
      <c r="F51" s="7" t="str">
        <f>"1994-06-30"</f>
        <v>1994-06-30</v>
      </c>
      <c r="G51" s="6"/>
    </row>
    <row r="52" spans="1:7" ht="30" customHeight="1">
      <c r="A52" s="6">
        <v>50</v>
      </c>
      <c r="B52" s="7" t="str">
        <f>"264320201010150722303"</f>
        <v>264320201010150722303</v>
      </c>
      <c r="C52" s="7" t="s">
        <v>8</v>
      </c>
      <c r="D52" s="7" t="str">
        <f>"白冰"</f>
        <v>白冰</v>
      </c>
      <c r="E52" s="7" t="str">
        <f>"女"</f>
        <v>女</v>
      </c>
      <c r="F52" s="7" t="str">
        <f>"1994-01-21"</f>
        <v>1994-01-21</v>
      </c>
      <c r="G52" s="6"/>
    </row>
    <row r="53" spans="1:7" ht="30" customHeight="1">
      <c r="A53" s="6">
        <v>51</v>
      </c>
      <c r="B53" s="7" t="str">
        <f>"264320201010154737310"</f>
        <v>264320201010154737310</v>
      </c>
      <c r="C53" s="7" t="s">
        <v>8</v>
      </c>
      <c r="D53" s="7" t="str">
        <f>"陈可芊"</f>
        <v>陈可芊</v>
      </c>
      <c r="E53" s="7" t="str">
        <f>"女"</f>
        <v>女</v>
      </c>
      <c r="F53" s="7" t="str">
        <f>"1997-10-29"</f>
        <v>1997-10-29</v>
      </c>
      <c r="G53" s="6"/>
    </row>
    <row r="54" spans="1:7" ht="30" customHeight="1">
      <c r="A54" s="6">
        <v>52</v>
      </c>
      <c r="B54" s="7" t="str">
        <f>"264320201010161819313"</f>
        <v>264320201010161819313</v>
      </c>
      <c r="C54" s="7" t="s">
        <v>8</v>
      </c>
      <c r="D54" s="7" t="str">
        <f>"王太"</f>
        <v>王太</v>
      </c>
      <c r="E54" s="7" t="str">
        <f>"男"</f>
        <v>男</v>
      </c>
      <c r="F54" s="7" t="str">
        <f>"1987-05-29"</f>
        <v>1987-05-29</v>
      </c>
      <c r="G54" s="6"/>
    </row>
    <row r="55" spans="1:7" ht="30" customHeight="1">
      <c r="A55" s="6">
        <v>53</v>
      </c>
      <c r="B55" s="7" t="str">
        <f>"264320201010162517315"</f>
        <v>264320201010162517315</v>
      </c>
      <c r="C55" s="7" t="s">
        <v>8</v>
      </c>
      <c r="D55" s="7" t="str">
        <f>"吴贤奖"</f>
        <v>吴贤奖</v>
      </c>
      <c r="E55" s="7" t="str">
        <f>"男"</f>
        <v>男</v>
      </c>
      <c r="F55" s="7" t="str">
        <f>"1997-01-20"</f>
        <v>1997-01-20</v>
      </c>
      <c r="G55" s="6"/>
    </row>
    <row r="56" spans="1:7" ht="30" customHeight="1">
      <c r="A56" s="6">
        <v>54</v>
      </c>
      <c r="B56" s="7" t="str">
        <f>"264320201010162940316"</f>
        <v>264320201010162940316</v>
      </c>
      <c r="C56" s="7" t="s">
        <v>8</v>
      </c>
      <c r="D56" s="7" t="str">
        <f>"林诗晨"</f>
        <v>林诗晨</v>
      </c>
      <c r="E56" s="7" t="str">
        <f>"女"</f>
        <v>女</v>
      </c>
      <c r="F56" s="7" t="str">
        <f>"1996-02-29"</f>
        <v>1996-02-29</v>
      </c>
      <c r="G56" s="6"/>
    </row>
    <row r="57" spans="1:7" ht="30" customHeight="1">
      <c r="A57" s="6">
        <v>55</v>
      </c>
      <c r="B57" s="7" t="str">
        <f>"264320201010173655327"</f>
        <v>264320201010173655327</v>
      </c>
      <c r="C57" s="7" t="s">
        <v>8</v>
      </c>
      <c r="D57" s="7" t="str">
        <f>"苏文妮"</f>
        <v>苏文妮</v>
      </c>
      <c r="E57" s="7" t="str">
        <f>"女"</f>
        <v>女</v>
      </c>
      <c r="F57" s="7" t="str">
        <f>"1991-11-19"</f>
        <v>1991-11-19</v>
      </c>
      <c r="G57" s="6"/>
    </row>
    <row r="58" spans="1:7" ht="30" customHeight="1">
      <c r="A58" s="6">
        <v>56</v>
      </c>
      <c r="B58" s="7" t="str">
        <f>"264320201010185624336"</f>
        <v>264320201010185624336</v>
      </c>
      <c r="C58" s="7" t="s">
        <v>8</v>
      </c>
      <c r="D58" s="7" t="str">
        <f>"周惠雅"</f>
        <v>周惠雅</v>
      </c>
      <c r="E58" s="7" t="str">
        <f>"女"</f>
        <v>女</v>
      </c>
      <c r="F58" s="7" t="str">
        <f>"1993-10-01"</f>
        <v>1993-10-01</v>
      </c>
      <c r="G58" s="6"/>
    </row>
    <row r="59" spans="1:7" ht="30" customHeight="1">
      <c r="A59" s="6">
        <v>57</v>
      </c>
      <c r="B59" s="7" t="str">
        <f>"264320201010210244347"</f>
        <v>264320201010210244347</v>
      </c>
      <c r="C59" s="7" t="s">
        <v>8</v>
      </c>
      <c r="D59" s="7" t="str">
        <f>"周义镇"</f>
        <v>周义镇</v>
      </c>
      <c r="E59" s="7" t="str">
        <f>"男"</f>
        <v>男</v>
      </c>
      <c r="F59" s="7" t="str">
        <f>"1994-03-28"</f>
        <v>1994-03-28</v>
      </c>
      <c r="G59" s="6"/>
    </row>
    <row r="60" spans="1:7" ht="30" customHeight="1">
      <c r="A60" s="6">
        <v>58</v>
      </c>
      <c r="B60" s="7" t="str">
        <f>"264320201010224352355"</f>
        <v>264320201010224352355</v>
      </c>
      <c r="C60" s="7" t="s">
        <v>8</v>
      </c>
      <c r="D60" s="7" t="str">
        <f>"曾造邦"</f>
        <v>曾造邦</v>
      </c>
      <c r="E60" s="7" t="str">
        <f>"男"</f>
        <v>男</v>
      </c>
      <c r="F60" s="7" t="str">
        <f>"1992-07-18"</f>
        <v>1992-07-18</v>
      </c>
      <c r="G60" s="6"/>
    </row>
    <row r="61" spans="1:7" ht="30" customHeight="1">
      <c r="A61" s="6">
        <v>59</v>
      </c>
      <c r="B61" s="7" t="str">
        <f>"264320201010231511357"</f>
        <v>264320201010231511357</v>
      </c>
      <c r="C61" s="7" t="s">
        <v>8</v>
      </c>
      <c r="D61" s="7" t="str">
        <f>"蔡崇法"</f>
        <v>蔡崇法</v>
      </c>
      <c r="E61" s="7" t="str">
        <f>"男"</f>
        <v>男</v>
      </c>
      <c r="F61" s="7" t="str">
        <f>"1989-10-16"</f>
        <v>1989-10-16</v>
      </c>
      <c r="G61" s="6"/>
    </row>
    <row r="62" spans="1:7" ht="30" customHeight="1">
      <c r="A62" s="6">
        <v>60</v>
      </c>
      <c r="B62" s="7" t="str">
        <f>"264320201011022710360"</f>
        <v>264320201011022710360</v>
      </c>
      <c r="C62" s="7" t="s">
        <v>8</v>
      </c>
      <c r="D62" s="7" t="str">
        <f>"莫瑞芬"</f>
        <v>莫瑞芬</v>
      </c>
      <c r="E62" s="7" t="str">
        <f>"女"</f>
        <v>女</v>
      </c>
      <c r="F62" s="7" t="str">
        <f>"1995-02-22"</f>
        <v>1995-02-22</v>
      </c>
      <c r="G62" s="6"/>
    </row>
    <row r="63" spans="1:7" ht="30" customHeight="1">
      <c r="A63" s="6">
        <v>61</v>
      </c>
      <c r="B63" s="7" t="str">
        <f>"264320201011080404362"</f>
        <v>264320201011080404362</v>
      </c>
      <c r="C63" s="7" t="s">
        <v>8</v>
      </c>
      <c r="D63" s="7" t="str">
        <f>"吴彪"</f>
        <v>吴彪</v>
      </c>
      <c r="E63" s="7" t="str">
        <f>"男"</f>
        <v>男</v>
      </c>
      <c r="F63" s="7" t="str">
        <f>"1992-03-29"</f>
        <v>1992-03-29</v>
      </c>
      <c r="G63" s="6"/>
    </row>
    <row r="64" spans="1:7" ht="30" customHeight="1">
      <c r="A64" s="6">
        <v>62</v>
      </c>
      <c r="B64" s="7" t="str">
        <f>"264320201011120158374"</f>
        <v>264320201011120158374</v>
      </c>
      <c r="C64" s="7" t="s">
        <v>8</v>
      </c>
      <c r="D64" s="7" t="str">
        <f>"黎俊希"</f>
        <v>黎俊希</v>
      </c>
      <c r="E64" s="7" t="str">
        <f>"女"</f>
        <v>女</v>
      </c>
      <c r="F64" s="7" t="str">
        <f>"1995-05-20"</f>
        <v>1995-05-20</v>
      </c>
      <c r="G64" s="6"/>
    </row>
    <row r="65" spans="1:7" ht="30" customHeight="1">
      <c r="A65" s="6">
        <v>63</v>
      </c>
      <c r="B65" s="7" t="str">
        <f>"264320201011121018375"</f>
        <v>264320201011121018375</v>
      </c>
      <c r="C65" s="7" t="s">
        <v>8</v>
      </c>
      <c r="D65" s="7" t="str">
        <f>"袁璐"</f>
        <v>袁璐</v>
      </c>
      <c r="E65" s="7" t="str">
        <f>"女"</f>
        <v>女</v>
      </c>
      <c r="F65" s="7" t="str">
        <f>"1995-05-12"</f>
        <v>1995-05-12</v>
      </c>
      <c r="G65" s="6"/>
    </row>
    <row r="66" spans="1:7" ht="30" customHeight="1">
      <c r="A66" s="6">
        <v>64</v>
      </c>
      <c r="B66" s="7" t="str">
        <f>"264320201011121703376"</f>
        <v>264320201011121703376</v>
      </c>
      <c r="C66" s="7" t="s">
        <v>8</v>
      </c>
      <c r="D66" s="7" t="str">
        <f>"文雯"</f>
        <v>文雯</v>
      </c>
      <c r="E66" s="7" t="str">
        <f>"女"</f>
        <v>女</v>
      </c>
      <c r="F66" s="7" t="str">
        <f>"1990-06-19"</f>
        <v>1990-06-19</v>
      </c>
      <c r="G66" s="6"/>
    </row>
    <row r="67" spans="1:7" ht="30" customHeight="1">
      <c r="A67" s="6">
        <v>65</v>
      </c>
      <c r="B67" s="7" t="str">
        <f>"264320201011131015378"</f>
        <v>264320201011131015378</v>
      </c>
      <c r="C67" s="7" t="s">
        <v>8</v>
      </c>
      <c r="D67" s="7" t="str">
        <f>"贺怡然"</f>
        <v>贺怡然</v>
      </c>
      <c r="E67" s="7" t="str">
        <f>"女"</f>
        <v>女</v>
      </c>
      <c r="F67" s="7" t="str">
        <f>"1994-12-30"</f>
        <v>1994-12-30</v>
      </c>
      <c r="G67" s="6"/>
    </row>
    <row r="68" spans="1:7" ht="30" customHeight="1">
      <c r="A68" s="6">
        <v>66</v>
      </c>
      <c r="B68" s="7" t="str">
        <f>"264320201011223409417"</f>
        <v>264320201011223409417</v>
      </c>
      <c r="C68" s="7" t="s">
        <v>8</v>
      </c>
      <c r="D68" s="7" t="str">
        <f>"王奋"</f>
        <v>王奋</v>
      </c>
      <c r="E68" s="7" t="str">
        <f>"男"</f>
        <v>男</v>
      </c>
      <c r="F68" s="7" t="str">
        <f>"1992-01-18"</f>
        <v>1992-01-18</v>
      </c>
      <c r="G68" s="6"/>
    </row>
    <row r="69" spans="1:7" ht="30" customHeight="1">
      <c r="A69" s="6">
        <v>67</v>
      </c>
      <c r="B69" s="7" t="str">
        <f>"264320201011235820423"</f>
        <v>264320201011235820423</v>
      </c>
      <c r="C69" s="7" t="s">
        <v>8</v>
      </c>
      <c r="D69" s="7" t="str">
        <f>"何艺东"</f>
        <v>何艺东</v>
      </c>
      <c r="E69" s="7" t="str">
        <f>"男"</f>
        <v>男</v>
      </c>
      <c r="F69" s="7" t="str">
        <f>"1995-02-21"</f>
        <v>1995-02-21</v>
      </c>
      <c r="G69" s="6"/>
    </row>
    <row r="70" spans="1:7" ht="30" customHeight="1">
      <c r="A70" s="6">
        <v>68</v>
      </c>
      <c r="B70" s="7" t="str">
        <f>"264320201011235822424"</f>
        <v>264320201011235822424</v>
      </c>
      <c r="C70" s="7" t="s">
        <v>8</v>
      </c>
      <c r="D70" s="7" t="str">
        <f>"张继清"</f>
        <v>张继清</v>
      </c>
      <c r="E70" s="7" t="str">
        <f>"男"</f>
        <v>男</v>
      </c>
      <c r="F70" s="7" t="str">
        <f>"1987-03-09"</f>
        <v>1987-03-09</v>
      </c>
      <c r="G70" s="6"/>
    </row>
    <row r="71" spans="1:7" ht="30" customHeight="1">
      <c r="A71" s="6">
        <v>69</v>
      </c>
      <c r="B71" s="7" t="str">
        <f>"264320201012094351433"</f>
        <v>264320201012094351433</v>
      </c>
      <c r="C71" s="7" t="s">
        <v>8</v>
      </c>
      <c r="D71" s="7" t="str">
        <f>"卓丽"</f>
        <v>卓丽</v>
      </c>
      <c r="E71" s="7" t="str">
        <f>"女"</f>
        <v>女</v>
      </c>
      <c r="F71" s="7" t="str">
        <f>"1990-10-05"</f>
        <v>1990-10-05</v>
      </c>
      <c r="G71" s="6"/>
    </row>
    <row r="72" spans="1:7" ht="30" customHeight="1">
      <c r="A72" s="6">
        <v>70</v>
      </c>
      <c r="B72" s="7" t="str">
        <f>"264320201012095852436"</f>
        <v>264320201012095852436</v>
      </c>
      <c r="C72" s="7" t="s">
        <v>8</v>
      </c>
      <c r="D72" s="7" t="str">
        <f>"蒲贝贝"</f>
        <v>蒲贝贝</v>
      </c>
      <c r="E72" s="7" t="str">
        <f>"女"</f>
        <v>女</v>
      </c>
      <c r="F72" s="7" t="str">
        <f>"1996-09-16"</f>
        <v>1996-09-16</v>
      </c>
      <c r="G72" s="6"/>
    </row>
    <row r="73" spans="1:7" ht="30" customHeight="1">
      <c r="A73" s="6">
        <v>71</v>
      </c>
      <c r="B73" s="7" t="str">
        <f>"264320201012100030437"</f>
        <v>264320201012100030437</v>
      </c>
      <c r="C73" s="7" t="s">
        <v>8</v>
      </c>
      <c r="D73" s="7" t="str">
        <f>"黎佳骏"</f>
        <v>黎佳骏</v>
      </c>
      <c r="E73" s="7" t="str">
        <f>"男"</f>
        <v>男</v>
      </c>
      <c r="F73" s="7" t="str">
        <f>"1993-06-27"</f>
        <v>1993-06-27</v>
      </c>
      <c r="G73" s="6"/>
    </row>
    <row r="74" spans="1:7" ht="30" customHeight="1">
      <c r="A74" s="6">
        <v>72</v>
      </c>
      <c r="B74" s="7" t="str">
        <f>"264320201012144343469"</f>
        <v>264320201012144343469</v>
      </c>
      <c r="C74" s="7" t="s">
        <v>8</v>
      </c>
      <c r="D74" s="7" t="str">
        <f>"王淑敏"</f>
        <v>王淑敏</v>
      </c>
      <c r="E74" s="7" t="str">
        <f aca="true" t="shared" si="2" ref="E74:E79">"女"</f>
        <v>女</v>
      </c>
      <c r="F74" s="7" t="str">
        <f>"1995-10-22"</f>
        <v>1995-10-22</v>
      </c>
      <c r="G74" s="6"/>
    </row>
    <row r="75" spans="1:7" ht="30" customHeight="1">
      <c r="A75" s="6">
        <v>73</v>
      </c>
      <c r="B75" s="7" t="str">
        <f>"264320201012155340478"</f>
        <v>264320201012155340478</v>
      </c>
      <c r="C75" s="7" t="s">
        <v>8</v>
      </c>
      <c r="D75" s="7" t="str">
        <f>"程婷"</f>
        <v>程婷</v>
      </c>
      <c r="E75" s="7" t="str">
        <f t="shared" si="2"/>
        <v>女</v>
      </c>
      <c r="F75" s="7" t="str">
        <f>"1994-01-21"</f>
        <v>1994-01-21</v>
      </c>
      <c r="G75" s="6"/>
    </row>
    <row r="76" spans="1:7" ht="30" customHeight="1">
      <c r="A76" s="6">
        <v>74</v>
      </c>
      <c r="B76" s="7" t="str">
        <f>"264320201012160339480"</f>
        <v>264320201012160339480</v>
      </c>
      <c r="C76" s="7" t="s">
        <v>8</v>
      </c>
      <c r="D76" s="7" t="str">
        <f>"李丽萍"</f>
        <v>李丽萍</v>
      </c>
      <c r="E76" s="7" t="str">
        <f t="shared" si="2"/>
        <v>女</v>
      </c>
      <c r="F76" s="7" t="str">
        <f>"1993-05-30"</f>
        <v>1993-05-30</v>
      </c>
      <c r="G76" s="6"/>
    </row>
    <row r="77" spans="1:7" ht="30" customHeight="1">
      <c r="A77" s="6">
        <v>75</v>
      </c>
      <c r="B77" s="7" t="str">
        <f>"264320201012173642492"</f>
        <v>264320201012173642492</v>
      </c>
      <c r="C77" s="7" t="s">
        <v>8</v>
      </c>
      <c r="D77" s="7" t="str">
        <f>"孙悦"</f>
        <v>孙悦</v>
      </c>
      <c r="E77" s="7" t="str">
        <f t="shared" si="2"/>
        <v>女</v>
      </c>
      <c r="F77" s="7" t="str">
        <f>"1995-06-04"</f>
        <v>1995-06-04</v>
      </c>
      <c r="G77" s="6"/>
    </row>
    <row r="78" spans="1:7" ht="30" customHeight="1">
      <c r="A78" s="6">
        <v>76</v>
      </c>
      <c r="B78" s="7" t="str">
        <f>"264320201012181158494"</f>
        <v>264320201012181158494</v>
      </c>
      <c r="C78" s="7" t="s">
        <v>8</v>
      </c>
      <c r="D78" s="7" t="str">
        <f>"吴夏珊"</f>
        <v>吴夏珊</v>
      </c>
      <c r="E78" s="7" t="str">
        <f t="shared" si="2"/>
        <v>女</v>
      </c>
      <c r="F78" s="7" t="str">
        <f>"1992-05-28"</f>
        <v>1992-05-28</v>
      </c>
      <c r="G78" s="6"/>
    </row>
    <row r="79" spans="1:7" ht="30" customHeight="1">
      <c r="A79" s="6">
        <v>77</v>
      </c>
      <c r="B79" s="7" t="str">
        <f>"264320201012205100499"</f>
        <v>264320201012205100499</v>
      </c>
      <c r="C79" s="7" t="s">
        <v>8</v>
      </c>
      <c r="D79" s="7" t="str">
        <f>"蔡丹燕"</f>
        <v>蔡丹燕</v>
      </c>
      <c r="E79" s="7" t="str">
        <f t="shared" si="2"/>
        <v>女</v>
      </c>
      <c r="F79" s="7" t="str">
        <f>"1985-10-25"</f>
        <v>1985-10-25</v>
      </c>
      <c r="G79" s="6"/>
    </row>
    <row r="80" spans="1:7" ht="30" customHeight="1">
      <c r="A80" s="6">
        <v>78</v>
      </c>
      <c r="B80" s="7" t="str">
        <f>"264320201012210517501"</f>
        <v>264320201012210517501</v>
      </c>
      <c r="C80" s="7" t="s">
        <v>8</v>
      </c>
      <c r="D80" s="7" t="str">
        <f>"王志刚"</f>
        <v>王志刚</v>
      </c>
      <c r="E80" s="7" t="str">
        <f>"男"</f>
        <v>男</v>
      </c>
      <c r="F80" s="7" t="str">
        <f>"1994-11-15"</f>
        <v>1994-11-15</v>
      </c>
      <c r="G80" s="6"/>
    </row>
    <row r="81" spans="1:7" ht="30" customHeight="1">
      <c r="A81" s="6">
        <v>79</v>
      </c>
      <c r="B81" s="7" t="str">
        <f>"264320201012230417508"</f>
        <v>264320201012230417508</v>
      </c>
      <c r="C81" s="7" t="s">
        <v>8</v>
      </c>
      <c r="D81" s="7" t="str">
        <f>"高芳英"</f>
        <v>高芳英</v>
      </c>
      <c r="E81" s="7" t="str">
        <f>"女"</f>
        <v>女</v>
      </c>
      <c r="F81" s="7" t="str">
        <f>"1988-10-03"</f>
        <v>1988-10-03</v>
      </c>
      <c r="G81" s="6"/>
    </row>
    <row r="82" spans="1:7" ht="30" customHeight="1">
      <c r="A82" s="6">
        <v>80</v>
      </c>
      <c r="B82" s="7" t="str">
        <f>"264320201013085208516"</f>
        <v>264320201013085208516</v>
      </c>
      <c r="C82" s="7" t="s">
        <v>8</v>
      </c>
      <c r="D82" s="7" t="str">
        <f>"张受娜"</f>
        <v>张受娜</v>
      </c>
      <c r="E82" s="7" t="str">
        <f>"女"</f>
        <v>女</v>
      </c>
      <c r="F82" s="7" t="str">
        <f>"1990-04-16"</f>
        <v>1990-04-16</v>
      </c>
      <c r="G82" s="6"/>
    </row>
    <row r="83" spans="1:7" ht="30" customHeight="1">
      <c r="A83" s="6">
        <v>81</v>
      </c>
      <c r="B83" s="7" t="str">
        <f>"264320201013091219517"</f>
        <v>264320201013091219517</v>
      </c>
      <c r="C83" s="7" t="s">
        <v>8</v>
      </c>
      <c r="D83" s="7" t="str">
        <f>"陈运鹰"</f>
        <v>陈运鹰</v>
      </c>
      <c r="E83" s="7" t="str">
        <f>"女"</f>
        <v>女</v>
      </c>
      <c r="F83" s="7" t="str">
        <f>"1990-11-22"</f>
        <v>1990-11-22</v>
      </c>
      <c r="G83" s="6"/>
    </row>
    <row r="84" spans="1:7" ht="30" customHeight="1">
      <c r="A84" s="6">
        <v>82</v>
      </c>
      <c r="B84" s="7" t="str">
        <f>"264320201013094834524"</f>
        <v>264320201013094834524</v>
      </c>
      <c r="C84" s="7" t="s">
        <v>8</v>
      </c>
      <c r="D84" s="7" t="str">
        <f>"张旅"</f>
        <v>张旅</v>
      </c>
      <c r="E84" s="7" t="str">
        <f>"女"</f>
        <v>女</v>
      </c>
      <c r="F84" s="7" t="str">
        <f>"1992-02-03"</f>
        <v>1992-02-03</v>
      </c>
      <c r="G84" s="6"/>
    </row>
    <row r="85" spans="1:7" ht="30" customHeight="1">
      <c r="A85" s="6">
        <v>83</v>
      </c>
      <c r="B85" s="7" t="str">
        <f>"264320201013103658526"</f>
        <v>264320201013103658526</v>
      </c>
      <c r="C85" s="7" t="s">
        <v>8</v>
      </c>
      <c r="D85" s="7" t="str">
        <f>"李森懋"</f>
        <v>李森懋</v>
      </c>
      <c r="E85" s="7" t="str">
        <f>"男"</f>
        <v>男</v>
      </c>
      <c r="F85" s="7" t="str">
        <f>"1989-06-26"</f>
        <v>1989-06-26</v>
      </c>
      <c r="G85" s="6"/>
    </row>
    <row r="86" spans="1:7" ht="30" customHeight="1">
      <c r="A86" s="6">
        <v>84</v>
      </c>
      <c r="B86" s="7" t="str">
        <f>"264320201013104851527"</f>
        <v>264320201013104851527</v>
      </c>
      <c r="C86" s="7" t="s">
        <v>8</v>
      </c>
      <c r="D86" s="7" t="str">
        <f>"哈金贤"</f>
        <v>哈金贤</v>
      </c>
      <c r="E86" s="7" t="str">
        <f>"男"</f>
        <v>男</v>
      </c>
      <c r="F86" s="7" t="str">
        <f>"1993-12-15"</f>
        <v>1993-12-15</v>
      </c>
      <c r="G86" s="6"/>
    </row>
    <row r="87" spans="1:7" ht="30" customHeight="1">
      <c r="A87" s="6">
        <v>85</v>
      </c>
      <c r="B87" s="7" t="str">
        <f>"264320201013152326544"</f>
        <v>264320201013152326544</v>
      </c>
      <c r="C87" s="7" t="s">
        <v>8</v>
      </c>
      <c r="D87" s="7" t="str">
        <f>"陈清柳"</f>
        <v>陈清柳</v>
      </c>
      <c r="E87" s="7" t="str">
        <f>"女"</f>
        <v>女</v>
      </c>
      <c r="F87" s="7" t="str">
        <f>"1996-11-14"</f>
        <v>1996-11-14</v>
      </c>
      <c r="G87" s="6"/>
    </row>
    <row r="88" spans="1:7" ht="30" customHeight="1">
      <c r="A88" s="6">
        <v>86</v>
      </c>
      <c r="B88" s="7" t="str">
        <f>"264320201013154713548"</f>
        <v>264320201013154713548</v>
      </c>
      <c r="C88" s="7" t="s">
        <v>8</v>
      </c>
      <c r="D88" s="7" t="str">
        <f>"周练"</f>
        <v>周练</v>
      </c>
      <c r="E88" s="7" t="str">
        <f>"男"</f>
        <v>男</v>
      </c>
      <c r="F88" s="7" t="str">
        <f>"1993-05-17"</f>
        <v>1993-05-17</v>
      </c>
      <c r="G88" s="6"/>
    </row>
    <row r="89" spans="1:7" ht="30" customHeight="1">
      <c r="A89" s="6">
        <v>87</v>
      </c>
      <c r="B89" s="7" t="str">
        <f>"264320201013173328558"</f>
        <v>264320201013173328558</v>
      </c>
      <c r="C89" s="7" t="s">
        <v>8</v>
      </c>
      <c r="D89" s="7" t="str">
        <f>"王仁芬"</f>
        <v>王仁芬</v>
      </c>
      <c r="E89" s="7" t="str">
        <f>"女"</f>
        <v>女</v>
      </c>
      <c r="F89" s="7" t="str">
        <f>"1993-03-12"</f>
        <v>1993-03-12</v>
      </c>
      <c r="G89" s="6"/>
    </row>
    <row r="90" spans="1:7" ht="30" customHeight="1">
      <c r="A90" s="6">
        <v>88</v>
      </c>
      <c r="B90" s="7" t="str">
        <f>"264320201013222330574"</f>
        <v>264320201013222330574</v>
      </c>
      <c r="C90" s="7" t="s">
        <v>8</v>
      </c>
      <c r="D90" s="7" t="str">
        <f>"陈美霖"</f>
        <v>陈美霖</v>
      </c>
      <c r="E90" s="7" t="str">
        <f>"女"</f>
        <v>女</v>
      </c>
      <c r="F90" s="7" t="str">
        <f>"1997-08-30"</f>
        <v>1997-08-30</v>
      </c>
      <c r="G90" s="6"/>
    </row>
    <row r="91" spans="1:7" ht="30" customHeight="1">
      <c r="A91" s="6">
        <v>89</v>
      </c>
      <c r="B91" s="7" t="str">
        <f>"264320201014085317582"</f>
        <v>264320201014085317582</v>
      </c>
      <c r="C91" s="7" t="s">
        <v>8</v>
      </c>
      <c r="D91" s="7" t="str">
        <f>"尹思思"</f>
        <v>尹思思</v>
      </c>
      <c r="E91" s="7" t="str">
        <f>"女"</f>
        <v>女</v>
      </c>
      <c r="F91" s="7" t="str">
        <f>"1994-06-12"</f>
        <v>1994-06-12</v>
      </c>
      <c r="G91" s="6"/>
    </row>
    <row r="92" spans="1:7" ht="30" customHeight="1">
      <c r="A92" s="6">
        <v>90</v>
      </c>
      <c r="B92" s="7" t="str">
        <f>"264320201014093127584"</f>
        <v>264320201014093127584</v>
      </c>
      <c r="C92" s="7" t="s">
        <v>8</v>
      </c>
      <c r="D92" s="7" t="str">
        <f>"彭玉璋"</f>
        <v>彭玉璋</v>
      </c>
      <c r="E92" s="7" t="str">
        <f>"女"</f>
        <v>女</v>
      </c>
      <c r="F92" s="7" t="str">
        <f>"1988-11-14"</f>
        <v>1988-11-14</v>
      </c>
      <c r="G92" s="6"/>
    </row>
    <row r="93" spans="1:7" ht="30" customHeight="1">
      <c r="A93" s="6">
        <v>91</v>
      </c>
      <c r="B93" s="7" t="str">
        <f>"264320201014093220585"</f>
        <v>264320201014093220585</v>
      </c>
      <c r="C93" s="7" t="s">
        <v>8</v>
      </c>
      <c r="D93" s="7" t="str">
        <f>"郑良捷"</f>
        <v>郑良捷</v>
      </c>
      <c r="E93" s="7" t="str">
        <f>"男"</f>
        <v>男</v>
      </c>
      <c r="F93" s="7" t="str">
        <f>"1994-11-22"</f>
        <v>1994-11-22</v>
      </c>
      <c r="G93" s="6"/>
    </row>
    <row r="94" spans="1:7" ht="30" customHeight="1">
      <c r="A94" s="6">
        <v>92</v>
      </c>
      <c r="B94" s="7" t="str">
        <f>"264320201014095301586"</f>
        <v>264320201014095301586</v>
      </c>
      <c r="C94" s="7" t="s">
        <v>8</v>
      </c>
      <c r="D94" s="7" t="str">
        <f>"麦玲"</f>
        <v>麦玲</v>
      </c>
      <c r="E94" s="7" t="str">
        <f>"女"</f>
        <v>女</v>
      </c>
      <c r="F94" s="7" t="str">
        <f>"1987-07-22"</f>
        <v>1987-07-22</v>
      </c>
      <c r="G94" s="6"/>
    </row>
    <row r="95" spans="1:7" ht="30" customHeight="1">
      <c r="A95" s="6">
        <v>93</v>
      </c>
      <c r="B95" s="7" t="str">
        <f>"264320201014130730598"</f>
        <v>264320201014130730598</v>
      </c>
      <c r="C95" s="7" t="s">
        <v>8</v>
      </c>
      <c r="D95" s="7" t="str">
        <f>"吴秀川"</f>
        <v>吴秀川</v>
      </c>
      <c r="E95" s="7" t="str">
        <f>"女"</f>
        <v>女</v>
      </c>
      <c r="F95" s="7" t="str">
        <f>"1991-06-05"</f>
        <v>1991-06-05</v>
      </c>
      <c r="G95" s="6"/>
    </row>
    <row r="96" spans="1:7" ht="30" customHeight="1">
      <c r="A96" s="6">
        <v>94</v>
      </c>
      <c r="B96" s="7" t="str">
        <f>"264320201014134448602"</f>
        <v>264320201014134448602</v>
      </c>
      <c r="C96" s="7" t="s">
        <v>8</v>
      </c>
      <c r="D96" s="7" t="str">
        <f>"黎天皇"</f>
        <v>黎天皇</v>
      </c>
      <c r="E96" s="7" t="str">
        <f>"男"</f>
        <v>男</v>
      </c>
      <c r="F96" s="7" t="str">
        <f>"1986-07-08"</f>
        <v>1986-07-08</v>
      </c>
      <c r="G96" s="6"/>
    </row>
    <row r="97" spans="1:7" ht="30" customHeight="1">
      <c r="A97" s="6">
        <v>95</v>
      </c>
      <c r="B97" s="7" t="str">
        <f>"264320201014153746609"</f>
        <v>264320201014153746609</v>
      </c>
      <c r="C97" s="7" t="s">
        <v>8</v>
      </c>
      <c r="D97" s="7" t="str">
        <f>"谢碧桑"</f>
        <v>谢碧桑</v>
      </c>
      <c r="E97" s="7" t="str">
        <f>"女"</f>
        <v>女</v>
      </c>
      <c r="F97" s="7" t="str">
        <f>"1992-05-20"</f>
        <v>1992-05-20</v>
      </c>
      <c r="G97" s="6"/>
    </row>
    <row r="98" spans="1:7" ht="30" customHeight="1">
      <c r="A98" s="6">
        <v>96</v>
      </c>
      <c r="B98" s="7" t="str">
        <f>"264320201014163333615"</f>
        <v>264320201014163333615</v>
      </c>
      <c r="C98" s="7" t="s">
        <v>8</v>
      </c>
      <c r="D98" s="7" t="str">
        <f>"王淇"</f>
        <v>王淇</v>
      </c>
      <c r="E98" s="7" t="str">
        <f>"男"</f>
        <v>男</v>
      </c>
      <c r="F98" s="7" t="str">
        <f>"1994-12-31"</f>
        <v>1994-12-31</v>
      </c>
      <c r="G98" s="6"/>
    </row>
    <row r="99" spans="1:7" ht="30" customHeight="1">
      <c r="A99" s="6">
        <v>97</v>
      </c>
      <c r="B99" s="7" t="str">
        <f>"264320201014170037617"</f>
        <v>264320201014170037617</v>
      </c>
      <c r="C99" s="7" t="s">
        <v>8</v>
      </c>
      <c r="D99" s="7" t="str">
        <f>"王君"</f>
        <v>王君</v>
      </c>
      <c r="E99" s="7" t="str">
        <f>"女"</f>
        <v>女</v>
      </c>
      <c r="F99" s="7" t="str">
        <f>"1991-12-31"</f>
        <v>1991-12-31</v>
      </c>
      <c r="G99" s="6"/>
    </row>
    <row r="100" spans="1:7" ht="30" customHeight="1">
      <c r="A100" s="6">
        <v>98</v>
      </c>
      <c r="B100" s="7" t="str">
        <f>"264320201014185739620"</f>
        <v>264320201014185739620</v>
      </c>
      <c r="C100" s="7" t="s">
        <v>8</v>
      </c>
      <c r="D100" s="7" t="str">
        <f>"王伟丁"</f>
        <v>王伟丁</v>
      </c>
      <c r="E100" s="7" t="str">
        <f>"男"</f>
        <v>男</v>
      </c>
      <c r="F100" s="7" t="str">
        <f>"1989-07-06"</f>
        <v>1989-07-06</v>
      </c>
      <c r="G100" s="6"/>
    </row>
    <row r="101" spans="1:7" ht="30" customHeight="1">
      <c r="A101" s="6">
        <v>99</v>
      </c>
      <c r="B101" s="7" t="str">
        <f>"264320201014192430621"</f>
        <v>264320201014192430621</v>
      </c>
      <c r="C101" s="7" t="s">
        <v>8</v>
      </c>
      <c r="D101" s="7" t="str">
        <f>"肖世敏"</f>
        <v>肖世敏</v>
      </c>
      <c r="E101" s="7" t="str">
        <f>"男"</f>
        <v>男</v>
      </c>
      <c r="F101" s="7" t="str">
        <f>"1994-12-10"</f>
        <v>1994-12-10</v>
      </c>
      <c r="G101" s="6"/>
    </row>
    <row r="102" spans="1:7" ht="30" customHeight="1">
      <c r="A102" s="6">
        <v>100</v>
      </c>
      <c r="B102" s="7" t="str">
        <f>"264320201014204130629"</f>
        <v>264320201014204130629</v>
      </c>
      <c r="C102" s="7" t="s">
        <v>8</v>
      </c>
      <c r="D102" s="7" t="str">
        <f>"胡兰妃"</f>
        <v>胡兰妃</v>
      </c>
      <c r="E102" s="7" t="str">
        <f>"女"</f>
        <v>女</v>
      </c>
      <c r="F102" s="7" t="str">
        <f>"1993-08-02"</f>
        <v>1993-08-02</v>
      </c>
      <c r="G102" s="6"/>
    </row>
    <row r="103" spans="1:7" ht="30" customHeight="1">
      <c r="A103" s="6">
        <v>101</v>
      </c>
      <c r="B103" s="7" t="str">
        <f>"264320201014212449633"</f>
        <v>264320201014212449633</v>
      </c>
      <c r="C103" s="7" t="s">
        <v>8</v>
      </c>
      <c r="D103" s="7" t="str">
        <f>"刘信蔚"</f>
        <v>刘信蔚</v>
      </c>
      <c r="E103" s="7" t="str">
        <f>"女"</f>
        <v>女</v>
      </c>
      <c r="F103" s="7" t="str">
        <f>"1992-09-22"</f>
        <v>1992-09-22</v>
      </c>
      <c r="G103" s="6"/>
    </row>
    <row r="104" spans="1:7" ht="30" customHeight="1">
      <c r="A104" s="6">
        <v>102</v>
      </c>
      <c r="B104" s="7" t="str">
        <f>"264320201014220350635"</f>
        <v>264320201014220350635</v>
      </c>
      <c r="C104" s="7" t="s">
        <v>8</v>
      </c>
      <c r="D104" s="7" t="str">
        <f>"陈文婧"</f>
        <v>陈文婧</v>
      </c>
      <c r="E104" s="7" t="str">
        <f>"女"</f>
        <v>女</v>
      </c>
      <c r="F104" s="7" t="str">
        <f>"1989-09-27"</f>
        <v>1989-09-27</v>
      </c>
      <c r="G104" s="6"/>
    </row>
    <row r="105" spans="1:7" ht="30" customHeight="1">
      <c r="A105" s="6">
        <v>103</v>
      </c>
      <c r="B105" s="7" t="str">
        <f>"264320201015084045643"</f>
        <v>264320201015084045643</v>
      </c>
      <c r="C105" s="7" t="s">
        <v>8</v>
      </c>
      <c r="D105" s="7" t="str">
        <f>"曾繁莉"</f>
        <v>曾繁莉</v>
      </c>
      <c r="E105" s="7" t="str">
        <f>"女"</f>
        <v>女</v>
      </c>
      <c r="F105" s="7" t="str">
        <f>"1991-10-15"</f>
        <v>1991-10-15</v>
      </c>
      <c r="G105" s="6"/>
    </row>
    <row r="106" spans="1:7" ht="30" customHeight="1">
      <c r="A106" s="6">
        <v>104</v>
      </c>
      <c r="B106" s="7" t="str">
        <f>"264320201015101341648"</f>
        <v>264320201015101341648</v>
      </c>
      <c r="C106" s="7" t="s">
        <v>8</v>
      </c>
      <c r="D106" s="7" t="str">
        <f>"周州"</f>
        <v>周州</v>
      </c>
      <c r="E106" s="7" t="str">
        <f>"男"</f>
        <v>男</v>
      </c>
      <c r="F106" s="7" t="str">
        <f>"1995-12-08"</f>
        <v>1995-12-08</v>
      </c>
      <c r="G106" s="6"/>
    </row>
    <row r="107" spans="1:7" ht="30" customHeight="1">
      <c r="A107" s="6">
        <v>105</v>
      </c>
      <c r="B107" s="7" t="str">
        <f>"264320201015114742654"</f>
        <v>264320201015114742654</v>
      </c>
      <c r="C107" s="7" t="s">
        <v>8</v>
      </c>
      <c r="D107" s="7" t="str">
        <f>"陈佳立"</f>
        <v>陈佳立</v>
      </c>
      <c r="E107" s="7" t="str">
        <f>"女"</f>
        <v>女</v>
      </c>
      <c r="F107" s="7" t="str">
        <f>"1994-02-14"</f>
        <v>1994-02-14</v>
      </c>
      <c r="G107" s="6"/>
    </row>
    <row r="108" spans="1:7" ht="30" customHeight="1">
      <c r="A108" s="6">
        <v>106</v>
      </c>
      <c r="B108" s="7" t="str">
        <f>"264320201015133347658"</f>
        <v>264320201015133347658</v>
      </c>
      <c r="C108" s="7" t="s">
        <v>8</v>
      </c>
      <c r="D108" s="7" t="str">
        <f>"吴桐"</f>
        <v>吴桐</v>
      </c>
      <c r="E108" s="7" t="str">
        <f>"男"</f>
        <v>男</v>
      </c>
      <c r="F108" s="7" t="str">
        <f>"1990-08-15"</f>
        <v>1990-08-15</v>
      </c>
      <c r="G108" s="6"/>
    </row>
    <row r="109" spans="1:7" ht="30" customHeight="1">
      <c r="A109" s="6">
        <v>107</v>
      </c>
      <c r="B109" s="7" t="str">
        <f>"264320201015152022666"</f>
        <v>264320201015152022666</v>
      </c>
      <c r="C109" s="7" t="s">
        <v>8</v>
      </c>
      <c r="D109" s="7" t="str">
        <f>"殷礼亮"</f>
        <v>殷礼亮</v>
      </c>
      <c r="E109" s="7" t="str">
        <f>"男"</f>
        <v>男</v>
      </c>
      <c r="F109" s="7" t="str">
        <f>"1995-03-30"</f>
        <v>1995-03-30</v>
      </c>
      <c r="G109" s="6"/>
    </row>
    <row r="110" spans="1:7" ht="30" customHeight="1">
      <c r="A110" s="6">
        <v>108</v>
      </c>
      <c r="B110" s="7" t="str">
        <f>"264320201015174624675"</f>
        <v>264320201015174624675</v>
      </c>
      <c r="C110" s="7" t="s">
        <v>8</v>
      </c>
      <c r="D110" s="7" t="str">
        <f>"李艳婷"</f>
        <v>李艳婷</v>
      </c>
      <c r="E110" s="7" t="str">
        <f aca="true" t="shared" si="3" ref="E110:E115">"女"</f>
        <v>女</v>
      </c>
      <c r="F110" s="7" t="str">
        <f>"1992-10-16"</f>
        <v>1992-10-16</v>
      </c>
      <c r="G110" s="6"/>
    </row>
    <row r="111" spans="1:7" ht="30" customHeight="1">
      <c r="A111" s="6">
        <v>109</v>
      </c>
      <c r="B111" s="7" t="str">
        <f>"264320201015211654686"</f>
        <v>264320201015211654686</v>
      </c>
      <c r="C111" s="7" t="s">
        <v>8</v>
      </c>
      <c r="D111" s="7" t="str">
        <f>"李敏"</f>
        <v>李敏</v>
      </c>
      <c r="E111" s="7" t="str">
        <f t="shared" si="3"/>
        <v>女</v>
      </c>
      <c r="F111" s="7" t="str">
        <f>"1991-05-15"</f>
        <v>1991-05-15</v>
      </c>
      <c r="G111" s="6"/>
    </row>
    <row r="112" spans="1:7" ht="30" customHeight="1">
      <c r="A112" s="6">
        <v>110</v>
      </c>
      <c r="B112" s="7" t="str">
        <f>"264320201015214125687"</f>
        <v>264320201015214125687</v>
      </c>
      <c r="C112" s="7" t="s">
        <v>8</v>
      </c>
      <c r="D112" s="7" t="str">
        <f>"刘思辰"</f>
        <v>刘思辰</v>
      </c>
      <c r="E112" s="7" t="str">
        <f t="shared" si="3"/>
        <v>女</v>
      </c>
      <c r="F112" s="7" t="str">
        <f>"1985-02-02"</f>
        <v>1985-02-02</v>
      </c>
      <c r="G112" s="6"/>
    </row>
    <row r="113" spans="1:7" ht="30" customHeight="1">
      <c r="A113" s="6">
        <v>111</v>
      </c>
      <c r="B113" s="7" t="str">
        <f>"264320201015224355690"</f>
        <v>264320201015224355690</v>
      </c>
      <c r="C113" s="7" t="s">
        <v>8</v>
      </c>
      <c r="D113" s="7" t="str">
        <f>"吴梦芸"</f>
        <v>吴梦芸</v>
      </c>
      <c r="E113" s="7" t="str">
        <f t="shared" si="3"/>
        <v>女</v>
      </c>
      <c r="F113" s="7" t="str">
        <f>"1996-10-03"</f>
        <v>1996-10-03</v>
      </c>
      <c r="G113" s="6"/>
    </row>
    <row r="114" spans="1:7" ht="30" customHeight="1">
      <c r="A114" s="6">
        <v>112</v>
      </c>
      <c r="B114" s="7" t="str">
        <f>"264320201015232500691"</f>
        <v>264320201015232500691</v>
      </c>
      <c r="C114" s="7" t="s">
        <v>8</v>
      </c>
      <c r="D114" s="7" t="str">
        <f>"彭筱筠"</f>
        <v>彭筱筠</v>
      </c>
      <c r="E114" s="7" t="str">
        <f t="shared" si="3"/>
        <v>女</v>
      </c>
      <c r="F114" s="7" t="str">
        <f>"1996-11-03"</f>
        <v>1996-11-03</v>
      </c>
      <c r="G114" s="6"/>
    </row>
    <row r="115" spans="1:7" ht="30" customHeight="1">
      <c r="A115" s="6">
        <v>113</v>
      </c>
      <c r="B115" s="7" t="str">
        <f>"264320201016090515693"</f>
        <v>264320201016090515693</v>
      </c>
      <c r="C115" s="7" t="s">
        <v>8</v>
      </c>
      <c r="D115" s="7" t="str">
        <f>"吉玉佳"</f>
        <v>吉玉佳</v>
      </c>
      <c r="E115" s="7" t="str">
        <f t="shared" si="3"/>
        <v>女</v>
      </c>
      <c r="F115" s="7" t="str">
        <f>"1997-03-15"</f>
        <v>1997-03-15</v>
      </c>
      <c r="G115" s="6"/>
    </row>
    <row r="116" spans="1:7" ht="30" customHeight="1">
      <c r="A116" s="6">
        <v>114</v>
      </c>
      <c r="B116" s="7" t="str">
        <f>"264320201016095130694"</f>
        <v>264320201016095130694</v>
      </c>
      <c r="C116" s="7" t="s">
        <v>8</v>
      </c>
      <c r="D116" s="7" t="str">
        <f>"童程伟"</f>
        <v>童程伟</v>
      </c>
      <c r="E116" s="7" t="str">
        <f>"男"</f>
        <v>男</v>
      </c>
      <c r="F116" s="7" t="str">
        <f>"1993-11-28"</f>
        <v>1993-11-28</v>
      </c>
      <c r="G116" s="6"/>
    </row>
    <row r="117" spans="1:7" ht="30" customHeight="1">
      <c r="A117" s="6">
        <v>115</v>
      </c>
      <c r="B117" s="7" t="str">
        <f>"264320201016150626702"</f>
        <v>264320201016150626702</v>
      </c>
      <c r="C117" s="7" t="s">
        <v>8</v>
      </c>
      <c r="D117" s="7" t="str">
        <f>"林松志"</f>
        <v>林松志</v>
      </c>
      <c r="E117" s="7" t="str">
        <f>"男"</f>
        <v>男</v>
      </c>
      <c r="F117" s="7" t="str">
        <f>"1987-04-25"</f>
        <v>1987-04-25</v>
      </c>
      <c r="G117" s="6"/>
    </row>
    <row r="118" spans="1:7" ht="30" customHeight="1">
      <c r="A118" s="6">
        <v>116</v>
      </c>
      <c r="B118" s="7" t="str">
        <f>"264320201016174459709"</f>
        <v>264320201016174459709</v>
      </c>
      <c r="C118" s="7" t="s">
        <v>8</v>
      </c>
      <c r="D118" s="7" t="str">
        <f>"朱秋瑾"</f>
        <v>朱秋瑾</v>
      </c>
      <c r="E118" s="7" t="str">
        <f>"女"</f>
        <v>女</v>
      </c>
      <c r="F118" s="7" t="str">
        <f>"1986-09-02"</f>
        <v>1986-09-02</v>
      </c>
      <c r="G118" s="6"/>
    </row>
    <row r="119" spans="1:7" ht="30" customHeight="1">
      <c r="A119" s="6">
        <v>117</v>
      </c>
      <c r="B119" s="7" t="str">
        <f>"264320201017154118725"</f>
        <v>264320201017154118725</v>
      </c>
      <c r="C119" s="7" t="s">
        <v>8</v>
      </c>
      <c r="D119" s="7" t="str">
        <f>"阮业锦"</f>
        <v>阮业锦</v>
      </c>
      <c r="E119" s="7" t="str">
        <f>"男"</f>
        <v>男</v>
      </c>
      <c r="F119" s="7" t="str">
        <f>"1987-05-23"</f>
        <v>1987-05-23</v>
      </c>
      <c r="G119" s="6"/>
    </row>
    <row r="120" spans="1:7" ht="30" customHeight="1">
      <c r="A120" s="6">
        <v>118</v>
      </c>
      <c r="B120" s="7" t="str">
        <f>"264320201017203850735"</f>
        <v>264320201017203850735</v>
      </c>
      <c r="C120" s="7" t="s">
        <v>8</v>
      </c>
      <c r="D120" s="7" t="str">
        <f>"李颖"</f>
        <v>李颖</v>
      </c>
      <c r="E120" s="7" t="str">
        <f>"男"</f>
        <v>男</v>
      </c>
      <c r="F120" s="7" t="str">
        <f>"1993-05-14"</f>
        <v>1993-05-14</v>
      </c>
      <c r="G120" s="6"/>
    </row>
    <row r="121" spans="1:7" ht="30" customHeight="1">
      <c r="A121" s="6">
        <v>119</v>
      </c>
      <c r="B121" s="7" t="str">
        <f>"264320201017210651737"</f>
        <v>264320201017210651737</v>
      </c>
      <c r="C121" s="7" t="s">
        <v>8</v>
      </c>
      <c r="D121" s="7" t="str">
        <f>"陈旭"</f>
        <v>陈旭</v>
      </c>
      <c r="E121" s="7" t="str">
        <f>"女"</f>
        <v>女</v>
      </c>
      <c r="F121" s="7" t="str">
        <f>"1992-06-08"</f>
        <v>1992-06-08</v>
      </c>
      <c r="G121" s="6"/>
    </row>
    <row r="122" spans="1:7" ht="30" customHeight="1">
      <c r="A122" s="6">
        <v>120</v>
      </c>
      <c r="B122" s="7" t="str">
        <f>"264320201017224953741"</f>
        <v>264320201017224953741</v>
      </c>
      <c r="C122" s="7" t="s">
        <v>8</v>
      </c>
      <c r="D122" s="7" t="str">
        <f>"翁连敏"</f>
        <v>翁连敏</v>
      </c>
      <c r="E122" s="7" t="str">
        <f>"男"</f>
        <v>男</v>
      </c>
      <c r="F122" s="7" t="str">
        <f>"1990-09-11"</f>
        <v>1990-09-11</v>
      </c>
      <c r="G122" s="6"/>
    </row>
    <row r="123" spans="1:7" ht="30" customHeight="1">
      <c r="A123" s="6">
        <v>121</v>
      </c>
      <c r="B123" s="7" t="str">
        <f>"264320201018095429743"</f>
        <v>264320201018095429743</v>
      </c>
      <c r="C123" s="7" t="s">
        <v>8</v>
      </c>
      <c r="D123" s="7" t="str">
        <f>"彭冠辉"</f>
        <v>彭冠辉</v>
      </c>
      <c r="E123" s="7" t="str">
        <f>"男"</f>
        <v>男</v>
      </c>
      <c r="F123" s="7" t="str">
        <f>"1995-09-30"</f>
        <v>1995-09-30</v>
      </c>
      <c r="G123" s="6"/>
    </row>
    <row r="124" spans="1:7" ht="30" customHeight="1">
      <c r="A124" s="6">
        <v>122</v>
      </c>
      <c r="B124" s="7" t="str">
        <f>"264320201018182712760"</f>
        <v>264320201018182712760</v>
      </c>
      <c r="C124" s="7" t="s">
        <v>8</v>
      </c>
      <c r="D124" s="7" t="str">
        <f>"谢望斌"</f>
        <v>谢望斌</v>
      </c>
      <c r="E124" s="7" t="str">
        <f>"男"</f>
        <v>男</v>
      </c>
      <c r="F124" s="7" t="str">
        <f>"1996-09-20"</f>
        <v>1996-09-20</v>
      </c>
      <c r="G124" s="6"/>
    </row>
    <row r="125" spans="1:7" ht="30" customHeight="1">
      <c r="A125" s="6">
        <v>123</v>
      </c>
      <c r="B125" s="7" t="str">
        <f>"264320201018222859774"</f>
        <v>264320201018222859774</v>
      </c>
      <c r="C125" s="7" t="s">
        <v>8</v>
      </c>
      <c r="D125" s="7" t="str">
        <f>"黎灵晶"</f>
        <v>黎灵晶</v>
      </c>
      <c r="E125" s="7" t="str">
        <f>"男"</f>
        <v>男</v>
      </c>
      <c r="F125" s="7" t="str">
        <f>"1985-02-12"</f>
        <v>1985-02-12</v>
      </c>
      <c r="G125" s="6"/>
    </row>
    <row r="126" spans="1:7" ht="30" customHeight="1">
      <c r="A126" s="6">
        <v>124</v>
      </c>
      <c r="B126" s="7" t="str">
        <f>"264320201019024328784"</f>
        <v>264320201019024328784</v>
      </c>
      <c r="C126" s="7" t="s">
        <v>8</v>
      </c>
      <c r="D126" s="7" t="str">
        <f>"田宇"</f>
        <v>田宇</v>
      </c>
      <c r="E126" s="7" t="str">
        <f>"男"</f>
        <v>男</v>
      </c>
      <c r="F126" s="7" t="str">
        <f>"1991-02-18"</f>
        <v>1991-02-18</v>
      </c>
      <c r="G126" s="6"/>
    </row>
    <row r="127" spans="1:7" ht="30" customHeight="1">
      <c r="A127" s="6">
        <v>125</v>
      </c>
      <c r="B127" s="7" t="str">
        <f>"264320201019090355787"</f>
        <v>264320201019090355787</v>
      </c>
      <c r="C127" s="7" t="s">
        <v>8</v>
      </c>
      <c r="D127" s="7" t="str">
        <f>"赵永廷"</f>
        <v>赵永廷</v>
      </c>
      <c r="E127" s="7" t="str">
        <f>"女"</f>
        <v>女</v>
      </c>
      <c r="F127" s="7" t="str">
        <f>"1994-05-14"</f>
        <v>1994-05-14</v>
      </c>
      <c r="G127" s="6"/>
    </row>
    <row r="128" spans="1:7" ht="30" customHeight="1">
      <c r="A128" s="6">
        <v>126</v>
      </c>
      <c r="B128" s="7" t="str">
        <f>"264320201019095514794"</f>
        <v>264320201019095514794</v>
      </c>
      <c r="C128" s="7" t="s">
        <v>8</v>
      </c>
      <c r="D128" s="7" t="str">
        <f>"吉秋妍"</f>
        <v>吉秋妍</v>
      </c>
      <c r="E128" s="7" t="str">
        <f>"女"</f>
        <v>女</v>
      </c>
      <c r="F128" s="7" t="str">
        <f>"1992-07-13"</f>
        <v>1992-07-13</v>
      </c>
      <c r="G128" s="6"/>
    </row>
    <row r="129" spans="1:7" ht="30" customHeight="1">
      <c r="A129" s="6">
        <v>127</v>
      </c>
      <c r="B129" s="7" t="str">
        <f>"264320201019104609802"</f>
        <v>264320201019104609802</v>
      </c>
      <c r="C129" s="7" t="s">
        <v>8</v>
      </c>
      <c r="D129" s="7" t="str">
        <f>"吴明锦"</f>
        <v>吴明锦</v>
      </c>
      <c r="E129" s="7" t="str">
        <f>"男"</f>
        <v>男</v>
      </c>
      <c r="F129" s="7" t="str">
        <f>"1992-10-04"</f>
        <v>1992-10-04</v>
      </c>
      <c r="G129" s="6"/>
    </row>
    <row r="130" spans="1:7" ht="30" customHeight="1">
      <c r="A130" s="6">
        <v>128</v>
      </c>
      <c r="B130" s="7" t="str">
        <f>"264320201019104940803"</f>
        <v>264320201019104940803</v>
      </c>
      <c r="C130" s="7" t="s">
        <v>8</v>
      </c>
      <c r="D130" s="7" t="str">
        <f>"许小芬"</f>
        <v>许小芬</v>
      </c>
      <c r="E130" s="7" t="str">
        <f>"女"</f>
        <v>女</v>
      </c>
      <c r="F130" s="7" t="str">
        <f>"1992-08-16"</f>
        <v>1992-08-16</v>
      </c>
      <c r="G130" s="6"/>
    </row>
    <row r="131" spans="1:7" ht="30" customHeight="1">
      <c r="A131" s="6">
        <v>129</v>
      </c>
      <c r="B131" s="7" t="str">
        <f>"264320201019153848835"</f>
        <v>264320201019153848835</v>
      </c>
      <c r="C131" s="7" t="s">
        <v>8</v>
      </c>
      <c r="D131" s="7" t="str">
        <f>"黄小倩"</f>
        <v>黄小倩</v>
      </c>
      <c r="E131" s="7" t="str">
        <f>"女"</f>
        <v>女</v>
      </c>
      <c r="F131" s="7" t="str">
        <f>"1992-04-19"</f>
        <v>1992-04-19</v>
      </c>
      <c r="G131" s="6"/>
    </row>
    <row r="132" spans="1:7" ht="30" customHeight="1">
      <c r="A132" s="6">
        <v>130</v>
      </c>
      <c r="B132" s="7" t="str">
        <f>"264320201019162709841"</f>
        <v>264320201019162709841</v>
      </c>
      <c r="C132" s="7" t="s">
        <v>8</v>
      </c>
      <c r="D132" s="7" t="str">
        <f>"宋昱瑾"</f>
        <v>宋昱瑾</v>
      </c>
      <c r="E132" s="7" t="str">
        <f>"女"</f>
        <v>女</v>
      </c>
      <c r="F132" s="7" t="str">
        <f>"1995-03-20"</f>
        <v>1995-03-20</v>
      </c>
      <c r="G132" s="6"/>
    </row>
    <row r="133" spans="1:7" ht="30" customHeight="1">
      <c r="A133" s="6">
        <v>131</v>
      </c>
      <c r="B133" s="7" t="str">
        <f>"264320201019164906844"</f>
        <v>264320201019164906844</v>
      </c>
      <c r="C133" s="7" t="s">
        <v>8</v>
      </c>
      <c r="D133" s="7" t="str">
        <f>"蒲娉冰"</f>
        <v>蒲娉冰</v>
      </c>
      <c r="E133" s="7" t="str">
        <f>"女"</f>
        <v>女</v>
      </c>
      <c r="F133" s="7" t="str">
        <f>"1995-03-28"</f>
        <v>1995-03-28</v>
      </c>
      <c r="G133" s="6"/>
    </row>
    <row r="134" spans="1:7" ht="30" customHeight="1">
      <c r="A134" s="6">
        <v>132</v>
      </c>
      <c r="B134" s="7" t="str">
        <f>"264320201019173745848"</f>
        <v>264320201019173745848</v>
      </c>
      <c r="C134" s="7" t="s">
        <v>8</v>
      </c>
      <c r="D134" s="7" t="str">
        <f>"黎太华"</f>
        <v>黎太华</v>
      </c>
      <c r="E134" s="7" t="str">
        <f>"男"</f>
        <v>男</v>
      </c>
      <c r="F134" s="7" t="str">
        <f>"1991-11-27"</f>
        <v>1991-11-27</v>
      </c>
      <c r="G134" s="6"/>
    </row>
    <row r="135" spans="1:7" ht="30" customHeight="1">
      <c r="A135" s="6">
        <v>133</v>
      </c>
      <c r="B135" s="7" t="str">
        <f>"264320201019192659858"</f>
        <v>264320201019192659858</v>
      </c>
      <c r="C135" s="7" t="s">
        <v>8</v>
      </c>
      <c r="D135" s="7" t="str">
        <f>"王豪杰"</f>
        <v>王豪杰</v>
      </c>
      <c r="E135" s="7" t="str">
        <f>"男"</f>
        <v>男</v>
      </c>
      <c r="F135" s="7" t="str">
        <f>"1992-01-22"</f>
        <v>1992-01-22</v>
      </c>
      <c r="G135" s="6"/>
    </row>
    <row r="136" spans="1:7" ht="30" customHeight="1">
      <c r="A136" s="6">
        <v>134</v>
      </c>
      <c r="B136" s="7" t="str">
        <f>"264320201019213736875"</f>
        <v>264320201019213736875</v>
      </c>
      <c r="C136" s="7" t="s">
        <v>8</v>
      </c>
      <c r="D136" s="7" t="str">
        <f>"张强"</f>
        <v>张强</v>
      </c>
      <c r="E136" s="7" t="str">
        <f aca="true" t="shared" si="4" ref="E136:E153">"女"</f>
        <v>女</v>
      </c>
      <c r="F136" s="7" t="str">
        <f>"1984-12-24"</f>
        <v>1984-12-24</v>
      </c>
      <c r="G136" s="6"/>
    </row>
    <row r="137" spans="1:7" ht="30" customHeight="1">
      <c r="A137" s="6">
        <v>135</v>
      </c>
      <c r="B137" s="7" t="str">
        <f>"264320201020001211886"</f>
        <v>264320201020001211886</v>
      </c>
      <c r="C137" s="7" t="s">
        <v>8</v>
      </c>
      <c r="D137" s="7" t="str">
        <f>"黄琪恋"</f>
        <v>黄琪恋</v>
      </c>
      <c r="E137" s="7" t="str">
        <f t="shared" si="4"/>
        <v>女</v>
      </c>
      <c r="F137" s="7" t="str">
        <f>"1994-06-21"</f>
        <v>1994-06-21</v>
      </c>
      <c r="G137" s="6"/>
    </row>
    <row r="138" spans="1:7" ht="30" customHeight="1">
      <c r="A138" s="6">
        <v>136</v>
      </c>
      <c r="B138" s="7" t="str">
        <f>"264320201020074510894"</f>
        <v>264320201020074510894</v>
      </c>
      <c r="C138" s="7" t="s">
        <v>8</v>
      </c>
      <c r="D138" s="7" t="str">
        <f>"李心薇"</f>
        <v>李心薇</v>
      </c>
      <c r="E138" s="7" t="str">
        <f t="shared" si="4"/>
        <v>女</v>
      </c>
      <c r="F138" s="7" t="str">
        <f>"1991-01-22"</f>
        <v>1991-01-22</v>
      </c>
      <c r="G138" s="6"/>
    </row>
    <row r="139" spans="1:7" ht="30" customHeight="1">
      <c r="A139" s="6">
        <v>137</v>
      </c>
      <c r="B139" s="7" t="str">
        <f>"264320201020084528895"</f>
        <v>264320201020084528895</v>
      </c>
      <c r="C139" s="7" t="s">
        <v>8</v>
      </c>
      <c r="D139" s="7" t="str">
        <f>"郭玉梅"</f>
        <v>郭玉梅</v>
      </c>
      <c r="E139" s="7" t="str">
        <f t="shared" si="4"/>
        <v>女</v>
      </c>
      <c r="F139" s="7" t="str">
        <f>"1995-07-06"</f>
        <v>1995-07-06</v>
      </c>
      <c r="G139" s="6"/>
    </row>
    <row r="140" spans="1:7" ht="30" customHeight="1">
      <c r="A140" s="6">
        <v>138</v>
      </c>
      <c r="B140" s="7" t="str">
        <f>"264320201020094929899"</f>
        <v>264320201020094929899</v>
      </c>
      <c r="C140" s="7" t="s">
        <v>8</v>
      </c>
      <c r="D140" s="7" t="str">
        <f>"何小芳"</f>
        <v>何小芳</v>
      </c>
      <c r="E140" s="7" t="str">
        <f t="shared" si="4"/>
        <v>女</v>
      </c>
      <c r="F140" s="7" t="str">
        <f>"1995-03-09"</f>
        <v>1995-03-09</v>
      </c>
      <c r="G140" s="6"/>
    </row>
    <row r="141" spans="1:7" ht="30" customHeight="1">
      <c r="A141" s="6">
        <v>139</v>
      </c>
      <c r="B141" s="7" t="str">
        <f>"264320201020104516906"</f>
        <v>264320201020104516906</v>
      </c>
      <c r="C141" s="7" t="s">
        <v>8</v>
      </c>
      <c r="D141" s="7" t="str">
        <f>"冼燕娥"</f>
        <v>冼燕娥</v>
      </c>
      <c r="E141" s="7" t="str">
        <f t="shared" si="4"/>
        <v>女</v>
      </c>
      <c r="F141" s="7" t="str">
        <f>"1996-01-04"</f>
        <v>1996-01-04</v>
      </c>
      <c r="G141" s="6"/>
    </row>
    <row r="142" spans="1:7" ht="30" customHeight="1">
      <c r="A142" s="6">
        <v>140</v>
      </c>
      <c r="B142" s="7" t="str">
        <f>"264320201020104951907"</f>
        <v>264320201020104951907</v>
      </c>
      <c r="C142" s="7" t="s">
        <v>8</v>
      </c>
      <c r="D142" s="7" t="str">
        <f>"邢馨之"</f>
        <v>邢馨之</v>
      </c>
      <c r="E142" s="7" t="str">
        <f t="shared" si="4"/>
        <v>女</v>
      </c>
      <c r="F142" s="7" t="str">
        <f>"1987-05-25"</f>
        <v>1987-05-25</v>
      </c>
      <c r="G142" s="6"/>
    </row>
    <row r="143" spans="1:7" ht="30" customHeight="1">
      <c r="A143" s="6">
        <v>141</v>
      </c>
      <c r="B143" s="7" t="str">
        <f>"264320201020111622910"</f>
        <v>264320201020111622910</v>
      </c>
      <c r="C143" s="7" t="s">
        <v>8</v>
      </c>
      <c r="D143" s="7" t="str">
        <f>"唐真真"</f>
        <v>唐真真</v>
      </c>
      <c r="E143" s="7" t="str">
        <f t="shared" si="4"/>
        <v>女</v>
      </c>
      <c r="F143" s="7" t="str">
        <f>"1985-08-07"</f>
        <v>1985-08-07</v>
      </c>
      <c r="G143" s="6"/>
    </row>
    <row r="144" spans="1:7" ht="30" customHeight="1">
      <c r="A144" s="6">
        <v>142</v>
      </c>
      <c r="B144" s="7" t="str">
        <f>"264320201020120649917"</f>
        <v>264320201020120649917</v>
      </c>
      <c r="C144" s="7" t="s">
        <v>8</v>
      </c>
      <c r="D144" s="7" t="str">
        <f>"梁琼露"</f>
        <v>梁琼露</v>
      </c>
      <c r="E144" s="7" t="str">
        <f t="shared" si="4"/>
        <v>女</v>
      </c>
      <c r="F144" s="7" t="str">
        <f>"1988-05-28"</f>
        <v>1988-05-28</v>
      </c>
      <c r="G144" s="6"/>
    </row>
    <row r="145" spans="1:7" ht="30" customHeight="1">
      <c r="A145" s="6">
        <v>143</v>
      </c>
      <c r="B145" s="7" t="str">
        <f>"264320201020122049921"</f>
        <v>264320201020122049921</v>
      </c>
      <c r="C145" s="7" t="s">
        <v>8</v>
      </c>
      <c r="D145" s="7" t="str">
        <f>"裴学婷"</f>
        <v>裴学婷</v>
      </c>
      <c r="E145" s="7" t="str">
        <f t="shared" si="4"/>
        <v>女</v>
      </c>
      <c r="F145" s="7" t="str">
        <f>"1994-11-01"</f>
        <v>1994-11-01</v>
      </c>
      <c r="G145" s="6"/>
    </row>
    <row r="146" spans="1:7" ht="30" customHeight="1">
      <c r="A146" s="6">
        <v>144</v>
      </c>
      <c r="B146" s="7" t="str">
        <f>"264320201020142232934"</f>
        <v>264320201020142232934</v>
      </c>
      <c r="C146" s="7" t="s">
        <v>8</v>
      </c>
      <c r="D146" s="7" t="str">
        <f>"吴潇潇"</f>
        <v>吴潇潇</v>
      </c>
      <c r="E146" s="7" t="str">
        <f t="shared" si="4"/>
        <v>女</v>
      </c>
      <c r="F146" s="7" t="str">
        <f>"1993-01-01"</f>
        <v>1993-01-01</v>
      </c>
      <c r="G146" s="6"/>
    </row>
    <row r="147" spans="1:7" ht="30" customHeight="1">
      <c r="A147" s="6">
        <v>145</v>
      </c>
      <c r="B147" s="7" t="str">
        <f>"264320201020144828936"</f>
        <v>264320201020144828936</v>
      </c>
      <c r="C147" s="7" t="s">
        <v>8</v>
      </c>
      <c r="D147" s="7" t="str">
        <f>"符婷婷"</f>
        <v>符婷婷</v>
      </c>
      <c r="E147" s="7" t="str">
        <f t="shared" si="4"/>
        <v>女</v>
      </c>
      <c r="F147" s="7" t="str">
        <f>"1987-09-26"</f>
        <v>1987-09-26</v>
      </c>
      <c r="G147" s="6"/>
    </row>
    <row r="148" spans="1:7" ht="30" customHeight="1">
      <c r="A148" s="6">
        <v>146</v>
      </c>
      <c r="B148" s="7" t="str">
        <f>"2643202010090906076"</f>
        <v>2643202010090906076</v>
      </c>
      <c r="C148" s="7" t="s">
        <v>9</v>
      </c>
      <c r="D148" s="7" t="str">
        <f>"蔡兴莉"</f>
        <v>蔡兴莉</v>
      </c>
      <c r="E148" s="7" t="str">
        <f t="shared" si="4"/>
        <v>女</v>
      </c>
      <c r="F148" s="7" t="str">
        <f>"1991-06-21"</f>
        <v>1991-06-21</v>
      </c>
      <c r="G148" s="6"/>
    </row>
    <row r="149" spans="1:7" ht="30" customHeight="1">
      <c r="A149" s="6">
        <v>147</v>
      </c>
      <c r="B149" s="7" t="str">
        <f>"2643202010090908028"</f>
        <v>2643202010090908028</v>
      </c>
      <c r="C149" s="7" t="s">
        <v>9</v>
      </c>
      <c r="D149" s="7" t="str">
        <f>"黄贻红"</f>
        <v>黄贻红</v>
      </c>
      <c r="E149" s="7" t="str">
        <f t="shared" si="4"/>
        <v>女</v>
      </c>
      <c r="F149" s="7" t="str">
        <f>"1993-12-09"</f>
        <v>1993-12-09</v>
      </c>
      <c r="G149" s="6"/>
    </row>
    <row r="150" spans="1:7" ht="30" customHeight="1">
      <c r="A150" s="6">
        <v>148</v>
      </c>
      <c r="B150" s="7" t="str">
        <f>"26432020100909344820"</f>
        <v>26432020100909344820</v>
      </c>
      <c r="C150" s="7" t="s">
        <v>9</v>
      </c>
      <c r="D150" s="7" t="str">
        <f>"刘珊"</f>
        <v>刘珊</v>
      </c>
      <c r="E150" s="7" t="str">
        <f t="shared" si="4"/>
        <v>女</v>
      </c>
      <c r="F150" s="7" t="str">
        <f>"1996-10-07"</f>
        <v>1996-10-07</v>
      </c>
      <c r="G150" s="6"/>
    </row>
    <row r="151" spans="1:7" ht="30" customHeight="1">
      <c r="A151" s="6">
        <v>149</v>
      </c>
      <c r="B151" s="7" t="str">
        <f>"26432020100909413321"</f>
        <v>26432020100909413321</v>
      </c>
      <c r="C151" s="7" t="s">
        <v>9</v>
      </c>
      <c r="D151" s="7" t="str">
        <f>"杨璐"</f>
        <v>杨璐</v>
      </c>
      <c r="E151" s="7" t="str">
        <f t="shared" si="4"/>
        <v>女</v>
      </c>
      <c r="F151" s="7" t="str">
        <f>"1987-06-14"</f>
        <v>1987-06-14</v>
      </c>
      <c r="G151" s="6"/>
    </row>
    <row r="152" spans="1:7" ht="30" customHeight="1">
      <c r="A152" s="6">
        <v>150</v>
      </c>
      <c r="B152" s="7" t="str">
        <f>"26432020100909421322"</f>
        <v>26432020100909421322</v>
      </c>
      <c r="C152" s="7" t="s">
        <v>9</v>
      </c>
      <c r="D152" s="7" t="str">
        <f>"符绩雪"</f>
        <v>符绩雪</v>
      </c>
      <c r="E152" s="7" t="str">
        <f t="shared" si="4"/>
        <v>女</v>
      </c>
      <c r="F152" s="7" t="str">
        <f>"1992-05-28"</f>
        <v>1992-05-28</v>
      </c>
      <c r="G152" s="6"/>
    </row>
    <row r="153" spans="1:7" ht="30" customHeight="1">
      <c r="A153" s="6">
        <v>151</v>
      </c>
      <c r="B153" s="7" t="str">
        <f>"26432020100909514525"</f>
        <v>26432020100909514525</v>
      </c>
      <c r="C153" s="7" t="s">
        <v>9</v>
      </c>
      <c r="D153" s="7" t="str">
        <f>"孙梓畅"</f>
        <v>孙梓畅</v>
      </c>
      <c r="E153" s="7" t="str">
        <f t="shared" si="4"/>
        <v>女</v>
      </c>
      <c r="F153" s="7" t="str">
        <f>"1994-09-24"</f>
        <v>1994-09-24</v>
      </c>
      <c r="G153" s="6"/>
    </row>
    <row r="154" spans="1:7" ht="30" customHeight="1">
      <c r="A154" s="6">
        <v>152</v>
      </c>
      <c r="B154" s="7" t="str">
        <f>"26432020100910142038"</f>
        <v>26432020100910142038</v>
      </c>
      <c r="C154" s="7" t="s">
        <v>9</v>
      </c>
      <c r="D154" s="7" t="str">
        <f>"王帆"</f>
        <v>王帆</v>
      </c>
      <c r="E154" s="7" t="str">
        <f>"男"</f>
        <v>男</v>
      </c>
      <c r="F154" s="7" t="str">
        <f>"1998-03-26"</f>
        <v>1998-03-26</v>
      </c>
      <c r="G154" s="6"/>
    </row>
    <row r="155" spans="1:7" ht="30" customHeight="1">
      <c r="A155" s="6">
        <v>153</v>
      </c>
      <c r="B155" s="7" t="str">
        <f>"26432020100910513255"</f>
        <v>26432020100910513255</v>
      </c>
      <c r="C155" s="7" t="s">
        <v>9</v>
      </c>
      <c r="D155" s="7" t="str">
        <f>"吴玉莹"</f>
        <v>吴玉莹</v>
      </c>
      <c r="E155" s="7" t="str">
        <f aca="true" t="shared" si="5" ref="E155:E163">"女"</f>
        <v>女</v>
      </c>
      <c r="F155" s="7" t="str">
        <f>"1997-09-04"</f>
        <v>1997-09-04</v>
      </c>
      <c r="G155" s="6"/>
    </row>
    <row r="156" spans="1:7" ht="30" customHeight="1">
      <c r="A156" s="6">
        <v>154</v>
      </c>
      <c r="B156" s="7" t="str">
        <f>"26432020100911191371"</f>
        <v>26432020100911191371</v>
      </c>
      <c r="C156" s="7" t="s">
        <v>9</v>
      </c>
      <c r="D156" s="7" t="str">
        <f>"陈爱秋"</f>
        <v>陈爱秋</v>
      </c>
      <c r="E156" s="7" t="str">
        <f t="shared" si="5"/>
        <v>女</v>
      </c>
      <c r="F156" s="7" t="str">
        <f>"1988-05-27"</f>
        <v>1988-05-27</v>
      </c>
      <c r="G156" s="6"/>
    </row>
    <row r="157" spans="1:7" ht="30" customHeight="1">
      <c r="A157" s="6">
        <v>155</v>
      </c>
      <c r="B157" s="7" t="str">
        <f>"26432020100911465880"</f>
        <v>26432020100911465880</v>
      </c>
      <c r="C157" s="7" t="s">
        <v>9</v>
      </c>
      <c r="D157" s="7" t="str">
        <f>"朱滢琳"</f>
        <v>朱滢琳</v>
      </c>
      <c r="E157" s="7" t="str">
        <f t="shared" si="5"/>
        <v>女</v>
      </c>
      <c r="F157" s="7" t="str">
        <f>"1995-02-01"</f>
        <v>1995-02-01</v>
      </c>
      <c r="G157" s="6"/>
    </row>
    <row r="158" spans="1:7" ht="30" customHeight="1">
      <c r="A158" s="6">
        <v>156</v>
      </c>
      <c r="B158" s="7" t="str">
        <f>"26432020100912232690"</f>
        <v>26432020100912232690</v>
      </c>
      <c r="C158" s="7" t="s">
        <v>9</v>
      </c>
      <c r="D158" s="7" t="str">
        <f>"蒋思思"</f>
        <v>蒋思思</v>
      </c>
      <c r="E158" s="7" t="str">
        <f t="shared" si="5"/>
        <v>女</v>
      </c>
      <c r="F158" s="7" t="str">
        <f>"1986-02-13"</f>
        <v>1986-02-13</v>
      </c>
      <c r="G158" s="6"/>
    </row>
    <row r="159" spans="1:7" ht="30" customHeight="1">
      <c r="A159" s="6">
        <v>157</v>
      </c>
      <c r="B159" s="7" t="str">
        <f>"26432020100912464699"</f>
        <v>26432020100912464699</v>
      </c>
      <c r="C159" s="7" t="s">
        <v>9</v>
      </c>
      <c r="D159" s="7" t="str">
        <f>"桑叶"</f>
        <v>桑叶</v>
      </c>
      <c r="E159" s="7" t="str">
        <f t="shared" si="5"/>
        <v>女</v>
      </c>
      <c r="F159" s="7" t="str">
        <f>"1986-01-15"</f>
        <v>1986-01-15</v>
      </c>
      <c r="G159" s="6"/>
    </row>
    <row r="160" spans="1:7" ht="30" customHeight="1">
      <c r="A160" s="6">
        <v>158</v>
      </c>
      <c r="B160" s="7" t="str">
        <f>"264320201009130044102"</f>
        <v>264320201009130044102</v>
      </c>
      <c r="C160" s="7" t="s">
        <v>9</v>
      </c>
      <c r="D160" s="7" t="str">
        <f>"王方西"</f>
        <v>王方西</v>
      </c>
      <c r="E160" s="7" t="str">
        <f t="shared" si="5"/>
        <v>女</v>
      </c>
      <c r="F160" s="7" t="str">
        <f>"1989-04-14"</f>
        <v>1989-04-14</v>
      </c>
      <c r="G160" s="6"/>
    </row>
    <row r="161" spans="1:7" ht="30" customHeight="1">
      <c r="A161" s="6">
        <v>159</v>
      </c>
      <c r="B161" s="7" t="str">
        <f>"264320201009140617115"</f>
        <v>264320201009140617115</v>
      </c>
      <c r="C161" s="7" t="s">
        <v>9</v>
      </c>
      <c r="D161" s="7" t="str">
        <f>"苏统丹"</f>
        <v>苏统丹</v>
      </c>
      <c r="E161" s="7" t="str">
        <f t="shared" si="5"/>
        <v>女</v>
      </c>
      <c r="F161" s="7" t="str">
        <f>"1996-08-24"</f>
        <v>1996-08-24</v>
      </c>
      <c r="G161" s="6"/>
    </row>
    <row r="162" spans="1:7" ht="30" customHeight="1">
      <c r="A162" s="6">
        <v>160</v>
      </c>
      <c r="B162" s="7" t="str">
        <f>"264320201009145658125"</f>
        <v>264320201009145658125</v>
      </c>
      <c r="C162" s="7" t="s">
        <v>9</v>
      </c>
      <c r="D162" s="7" t="str">
        <f>"陈嘉欣"</f>
        <v>陈嘉欣</v>
      </c>
      <c r="E162" s="7" t="str">
        <f t="shared" si="5"/>
        <v>女</v>
      </c>
      <c r="F162" s="7" t="str">
        <f>"1992-08-14"</f>
        <v>1992-08-14</v>
      </c>
      <c r="G162" s="6"/>
    </row>
    <row r="163" spans="1:7" ht="30" customHeight="1">
      <c r="A163" s="6">
        <v>161</v>
      </c>
      <c r="B163" s="7" t="str">
        <f>"264320201009160140136"</f>
        <v>264320201009160140136</v>
      </c>
      <c r="C163" s="7" t="s">
        <v>9</v>
      </c>
      <c r="D163" s="7" t="str">
        <f>"王春玉"</f>
        <v>王春玉</v>
      </c>
      <c r="E163" s="7" t="str">
        <f t="shared" si="5"/>
        <v>女</v>
      </c>
      <c r="F163" s="7" t="str">
        <f>"1993-01-05"</f>
        <v>1993-01-05</v>
      </c>
      <c r="G163" s="6"/>
    </row>
    <row r="164" spans="1:7" ht="30" customHeight="1">
      <c r="A164" s="6">
        <v>162</v>
      </c>
      <c r="B164" s="7" t="str">
        <f>"264320201009160725137"</f>
        <v>264320201009160725137</v>
      </c>
      <c r="C164" s="7" t="s">
        <v>9</v>
      </c>
      <c r="D164" s="7" t="str">
        <f>"毕忠华"</f>
        <v>毕忠华</v>
      </c>
      <c r="E164" s="7" t="str">
        <f>"男"</f>
        <v>男</v>
      </c>
      <c r="F164" s="7" t="str">
        <f>"1984-12-25"</f>
        <v>1984-12-25</v>
      </c>
      <c r="G164" s="6"/>
    </row>
    <row r="165" spans="1:7" ht="30" customHeight="1">
      <c r="A165" s="6">
        <v>163</v>
      </c>
      <c r="B165" s="7" t="str">
        <f>"264320201009161134139"</f>
        <v>264320201009161134139</v>
      </c>
      <c r="C165" s="7" t="s">
        <v>9</v>
      </c>
      <c r="D165" s="7" t="str">
        <f>"李皜真"</f>
        <v>李皜真</v>
      </c>
      <c r="E165" s="7" t="str">
        <f aca="true" t="shared" si="6" ref="E165:E172">"女"</f>
        <v>女</v>
      </c>
      <c r="F165" s="7" t="str">
        <f>"1995-01-20"</f>
        <v>1995-01-20</v>
      </c>
      <c r="G165" s="6"/>
    </row>
    <row r="166" spans="1:7" ht="30" customHeight="1">
      <c r="A166" s="6">
        <v>164</v>
      </c>
      <c r="B166" s="7" t="str">
        <f>"264320201009171037157"</f>
        <v>264320201009171037157</v>
      </c>
      <c r="C166" s="7" t="s">
        <v>9</v>
      </c>
      <c r="D166" s="7" t="str">
        <f>"陈敏"</f>
        <v>陈敏</v>
      </c>
      <c r="E166" s="7" t="str">
        <f t="shared" si="6"/>
        <v>女</v>
      </c>
      <c r="F166" s="7" t="str">
        <f>"1993-05-06"</f>
        <v>1993-05-06</v>
      </c>
      <c r="G166" s="6"/>
    </row>
    <row r="167" spans="1:7" ht="30" customHeight="1">
      <c r="A167" s="6">
        <v>165</v>
      </c>
      <c r="B167" s="7" t="str">
        <f>"264320201009173616164"</f>
        <v>264320201009173616164</v>
      </c>
      <c r="C167" s="7" t="s">
        <v>9</v>
      </c>
      <c r="D167" s="7" t="str">
        <f>"郑冰冰"</f>
        <v>郑冰冰</v>
      </c>
      <c r="E167" s="7" t="str">
        <f t="shared" si="6"/>
        <v>女</v>
      </c>
      <c r="F167" s="7" t="str">
        <f>"1990-11-29"</f>
        <v>1990-11-29</v>
      </c>
      <c r="G167" s="6"/>
    </row>
    <row r="168" spans="1:7" ht="30" customHeight="1">
      <c r="A168" s="6">
        <v>166</v>
      </c>
      <c r="B168" s="7" t="str">
        <f>"264320201009182250177"</f>
        <v>264320201009182250177</v>
      </c>
      <c r="C168" s="7" t="s">
        <v>9</v>
      </c>
      <c r="D168" s="7" t="str">
        <f>"黎莫烂"</f>
        <v>黎莫烂</v>
      </c>
      <c r="E168" s="7" t="str">
        <f t="shared" si="6"/>
        <v>女</v>
      </c>
      <c r="F168" s="7" t="str">
        <f>"1992-05-17"</f>
        <v>1992-05-17</v>
      </c>
      <c r="G168" s="6"/>
    </row>
    <row r="169" spans="1:7" ht="30" customHeight="1">
      <c r="A169" s="6">
        <v>167</v>
      </c>
      <c r="B169" s="7" t="str">
        <f>"264320201009185550183"</f>
        <v>264320201009185550183</v>
      </c>
      <c r="C169" s="7" t="s">
        <v>9</v>
      </c>
      <c r="D169" s="7" t="str">
        <f>"吉莉"</f>
        <v>吉莉</v>
      </c>
      <c r="E169" s="7" t="str">
        <f t="shared" si="6"/>
        <v>女</v>
      </c>
      <c r="F169" s="7" t="str">
        <f>"1997-03-22"</f>
        <v>1997-03-22</v>
      </c>
      <c r="G169" s="6"/>
    </row>
    <row r="170" spans="1:7" ht="30" customHeight="1">
      <c r="A170" s="6">
        <v>168</v>
      </c>
      <c r="B170" s="7" t="str">
        <f>"264320201009192245189"</f>
        <v>264320201009192245189</v>
      </c>
      <c r="C170" s="7" t="s">
        <v>9</v>
      </c>
      <c r="D170" s="7" t="str">
        <f>"邢益萍"</f>
        <v>邢益萍</v>
      </c>
      <c r="E170" s="7" t="str">
        <f t="shared" si="6"/>
        <v>女</v>
      </c>
      <c r="F170" s="7" t="str">
        <f>"1996-09-20"</f>
        <v>1996-09-20</v>
      </c>
      <c r="G170" s="6"/>
    </row>
    <row r="171" spans="1:7" ht="30" customHeight="1">
      <c r="A171" s="6">
        <v>169</v>
      </c>
      <c r="B171" s="7" t="str">
        <f>"264320201009192401191"</f>
        <v>264320201009192401191</v>
      </c>
      <c r="C171" s="7" t="s">
        <v>9</v>
      </c>
      <c r="D171" s="7" t="str">
        <f>"陈贤萍"</f>
        <v>陈贤萍</v>
      </c>
      <c r="E171" s="7" t="str">
        <f t="shared" si="6"/>
        <v>女</v>
      </c>
      <c r="F171" s="7" t="str">
        <f>"1996-05-12"</f>
        <v>1996-05-12</v>
      </c>
      <c r="G171" s="6"/>
    </row>
    <row r="172" spans="1:7" ht="30" customHeight="1">
      <c r="A172" s="6">
        <v>170</v>
      </c>
      <c r="B172" s="7" t="str">
        <f>"264320201009194001197"</f>
        <v>264320201009194001197</v>
      </c>
      <c r="C172" s="7" t="s">
        <v>9</v>
      </c>
      <c r="D172" s="7" t="str">
        <f>"梁禹铭"</f>
        <v>梁禹铭</v>
      </c>
      <c r="E172" s="7" t="str">
        <f t="shared" si="6"/>
        <v>女</v>
      </c>
      <c r="F172" s="7" t="str">
        <f>"1994-09-16"</f>
        <v>1994-09-16</v>
      </c>
      <c r="G172" s="6"/>
    </row>
    <row r="173" spans="1:7" ht="30" customHeight="1">
      <c r="A173" s="6">
        <v>171</v>
      </c>
      <c r="B173" s="7" t="str">
        <f>"264320201009201744206"</f>
        <v>264320201009201744206</v>
      </c>
      <c r="C173" s="7" t="s">
        <v>9</v>
      </c>
      <c r="D173" s="7" t="str">
        <f>"王君"</f>
        <v>王君</v>
      </c>
      <c r="E173" s="7" t="str">
        <f>"男"</f>
        <v>男</v>
      </c>
      <c r="F173" s="7" t="str">
        <f>"1996-01-10"</f>
        <v>1996-01-10</v>
      </c>
      <c r="G173" s="6"/>
    </row>
    <row r="174" spans="1:7" ht="30" customHeight="1">
      <c r="A174" s="6">
        <v>172</v>
      </c>
      <c r="B174" s="7" t="str">
        <f>"264320201010101457266"</f>
        <v>264320201010101457266</v>
      </c>
      <c r="C174" s="7" t="s">
        <v>9</v>
      </c>
      <c r="D174" s="7" t="str">
        <f>"曹珊丽"</f>
        <v>曹珊丽</v>
      </c>
      <c r="E174" s="7" t="str">
        <f>"女"</f>
        <v>女</v>
      </c>
      <c r="F174" s="7" t="str">
        <f>"1990-06-11"</f>
        <v>1990-06-11</v>
      </c>
      <c r="G174" s="6"/>
    </row>
    <row r="175" spans="1:7" ht="30" customHeight="1">
      <c r="A175" s="6">
        <v>173</v>
      </c>
      <c r="B175" s="7" t="str">
        <f>"264320201010102014267"</f>
        <v>264320201010102014267</v>
      </c>
      <c r="C175" s="7" t="s">
        <v>9</v>
      </c>
      <c r="D175" s="7" t="str">
        <f>"欧贻杰"</f>
        <v>欧贻杰</v>
      </c>
      <c r="E175" s="7" t="str">
        <f>"男"</f>
        <v>男</v>
      </c>
      <c r="F175" s="7" t="str">
        <f>"1996-05-26"</f>
        <v>1996-05-26</v>
      </c>
      <c r="G175" s="6"/>
    </row>
    <row r="176" spans="1:7" ht="30" customHeight="1">
      <c r="A176" s="6">
        <v>174</v>
      </c>
      <c r="B176" s="7" t="str">
        <f>"264320201010103035269"</f>
        <v>264320201010103035269</v>
      </c>
      <c r="C176" s="7" t="s">
        <v>9</v>
      </c>
      <c r="D176" s="7" t="str">
        <f>"曹杰威"</f>
        <v>曹杰威</v>
      </c>
      <c r="E176" s="7" t="str">
        <f>"男"</f>
        <v>男</v>
      </c>
      <c r="F176" s="7" t="str">
        <f>"1998-11-28"</f>
        <v>1998-11-28</v>
      </c>
      <c r="G176" s="6"/>
    </row>
    <row r="177" spans="1:7" ht="30" customHeight="1">
      <c r="A177" s="6">
        <v>175</v>
      </c>
      <c r="B177" s="7" t="str">
        <f>"264320201010113305280"</f>
        <v>264320201010113305280</v>
      </c>
      <c r="C177" s="7" t="s">
        <v>9</v>
      </c>
      <c r="D177" s="7" t="str">
        <f>"邓月娥"</f>
        <v>邓月娥</v>
      </c>
      <c r="E177" s="7" t="str">
        <f>"女"</f>
        <v>女</v>
      </c>
      <c r="F177" s="7" t="str">
        <f>"1988-03-18"</f>
        <v>1988-03-18</v>
      </c>
      <c r="G177" s="6"/>
    </row>
    <row r="178" spans="1:7" ht="30" customHeight="1">
      <c r="A178" s="6">
        <v>176</v>
      </c>
      <c r="B178" s="7" t="str">
        <f>"264320201010121729285"</f>
        <v>264320201010121729285</v>
      </c>
      <c r="C178" s="7" t="s">
        <v>9</v>
      </c>
      <c r="D178" s="7" t="str">
        <f>"聂晓杰"</f>
        <v>聂晓杰</v>
      </c>
      <c r="E178" s="7" t="str">
        <f>"女"</f>
        <v>女</v>
      </c>
      <c r="F178" s="7" t="str">
        <f>"1989-08-07"</f>
        <v>1989-08-07</v>
      </c>
      <c r="G178" s="6"/>
    </row>
    <row r="179" spans="1:7" ht="30" customHeight="1">
      <c r="A179" s="6">
        <v>177</v>
      </c>
      <c r="B179" s="7" t="str">
        <f>"264320201010125042287"</f>
        <v>264320201010125042287</v>
      </c>
      <c r="C179" s="7" t="s">
        <v>9</v>
      </c>
      <c r="D179" s="7" t="str">
        <f>"李竹君"</f>
        <v>李竹君</v>
      </c>
      <c r="E179" s="7" t="str">
        <f>"女"</f>
        <v>女</v>
      </c>
      <c r="F179" s="7" t="str">
        <f>"1989-05-05"</f>
        <v>1989-05-05</v>
      </c>
      <c r="G179" s="6"/>
    </row>
    <row r="180" spans="1:7" ht="30" customHeight="1">
      <c r="A180" s="6">
        <v>178</v>
      </c>
      <c r="B180" s="7" t="str">
        <f>"264320201010140330296"</f>
        <v>264320201010140330296</v>
      </c>
      <c r="C180" s="7" t="s">
        <v>9</v>
      </c>
      <c r="D180" s="7" t="str">
        <f>"江霞"</f>
        <v>江霞</v>
      </c>
      <c r="E180" s="7" t="str">
        <f>"女"</f>
        <v>女</v>
      </c>
      <c r="F180" s="7" t="str">
        <f>"1996-03-25"</f>
        <v>1996-03-25</v>
      </c>
      <c r="G180" s="6"/>
    </row>
    <row r="181" spans="1:7" ht="30" customHeight="1">
      <c r="A181" s="6">
        <v>179</v>
      </c>
      <c r="B181" s="7" t="str">
        <f>"264320201010141516297"</f>
        <v>264320201010141516297</v>
      </c>
      <c r="C181" s="7" t="s">
        <v>9</v>
      </c>
      <c r="D181" s="7" t="str">
        <f>"张洁琛"</f>
        <v>张洁琛</v>
      </c>
      <c r="E181" s="7" t="str">
        <f>"男"</f>
        <v>男</v>
      </c>
      <c r="F181" s="7" t="str">
        <f>"1987-03-09"</f>
        <v>1987-03-09</v>
      </c>
      <c r="G181" s="6"/>
    </row>
    <row r="182" spans="1:7" ht="30" customHeight="1">
      <c r="A182" s="6">
        <v>180</v>
      </c>
      <c r="B182" s="7" t="str">
        <f>"264320201010153421305"</f>
        <v>264320201010153421305</v>
      </c>
      <c r="C182" s="7" t="s">
        <v>9</v>
      </c>
      <c r="D182" s="7" t="str">
        <f>"黄振雅"</f>
        <v>黄振雅</v>
      </c>
      <c r="E182" s="7" t="str">
        <f>"女"</f>
        <v>女</v>
      </c>
      <c r="F182" s="7" t="str">
        <f>"1994-10-30"</f>
        <v>1994-10-30</v>
      </c>
      <c r="G182" s="6"/>
    </row>
    <row r="183" spans="1:7" ht="30" customHeight="1">
      <c r="A183" s="6">
        <v>181</v>
      </c>
      <c r="B183" s="7" t="str">
        <f>"264320201010165034320"</f>
        <v>264320201010165034320</v>
      </c>
      <c r="C183" s="7" t="s">
        <v>9</v>
      </c>
      <c r="D183" s="7" t="str">
        <f>"谢丹丹"</f>
        <v>谢丹丹</v>
      </c>
      <c r="E183" s="7" t="str">
        <f>"女"</f>
        <v>女</v>
      </c>
      <c r="F183" s="7" t="str">
        <f>"1988-07-16"</f>
        <v>1988-07-16</v>
      </c>
      <c r="G183" s="6"/>
    </row>
    <row r="184" spans="1:7" ht="30" customHeight="1">
      <c r="A184" s="6">
        <v>182</v>
      </c>
      <c r="B184" s="7" t="str">
        <f>"264320201010174152328"</f>
        <v>264320201010174152328</v>
      </c>
      <c r="C184" s="7" t="s">
        <v>9</v>
      </c>
      <c r="D184" s="7" t="str">
        <f>"黎诗丹"</f>
        <v>黎诗丹</v>
      </c>
      <c r="E184" s="7" t="str">
        <f>"女"</f>
        <v>女</v>
      </c>
      <c r="F184" s="7" t="str">
        <f>"1991-12-18"</f>
        <v>1991-12-18</v>
      </c>
      <c r="G184" s="6"/>
    </row>
    <row r="185" spans="1:7" ht="30" customHeight="1">
      <c r="A185" s="6">
        <v>183</v>
      </c>
      <c r="B185" s="7" t="str">
        <f>"264320201010190008337"</f>
        <v>264320201010190008337</v>
      </c>
      <c r="C185" s="7" t="s">
        <v>9</v>
      </c>
      <c r="D185" s="7" t="str">
        <f>"吕正韬"</f>
        <v>吕正韬</v>
      </c>
      <c r="E185" s="7" t="str">
        <f>"男"</f>
        <v>男</v>
      </c>
      <c r="F185" s="7" t="str">
        <f>"1993-06-02"</f>
        <v>1993-06-02</v>
      </c>
      <c r="G185" s="6"/>
    </row>
    <row r="186" spans="1:7" ht="30" customHeight="1">
      <c r="A186" s="6">
        <v>184</v>
      </c>
      <c r="B186" s="7" t="str">
        <f>"264320201010203005344"</f>
        <v>264320201010203005344</v>
      </c>
      <c r="C186" s="7" t="s">
        <v>9</v>
      </c>
      <c r="D186" s="7" t="str">
        <f>"黎小姗"</f>
        <v>黎小姗</v>
      </c>
      <c r="E186" s="7" t="str">
        <f aca="true" t="shared" si="7" ref="E186:E191">"女"</f>
        <v>女</v>
      </c>
      <c r="F186" s="7" t="str">
        <f>"1994-02-04"</f>
        <v>1994-02-04</v>
      </c>
      <c r="G186" s="6"/>
    </row>
    <row r="187" spans="1:7" ht="30" customHeight="1">
      <c r="A187" s="6">
        <v>185</v>
      </c>
      <c r="B187" s="7" t="str">
        <f>"264320201011072905361"</f>
        <v>264320201011072905361</v>
      </c>
      <c r="C187" s="7" t="s">
        <v>9</v>
      </c>
      <c r="D187" s="7" t="str">
        <f>"吴霞娜"</f>
        <v>吴霞娜</v>
      </c>
      <c r="E187" s="7" t="str">
        <f t="shared" si="7"/>
        <v>女</v>
      </c>
      <c r="F187" s="7" t="str">
        <f>"1990-04-15"</f>
        <v>1990-04-15</v>
      </c>
      <c r="G187" s="6"/>
    </row>
    <row r="188" spans="1:7" ht="30" customHeight="1">
      <c r="A188" s="6">
        <v>186</v>
      </c>
      <c r="B188" s="7" t="str">
        <f>"264320201011113403371"</f>
        <v>264320201011113403371</v>
      </c>
      <c r="C188" s="7" t="s">
        <v>9</v>
      </c>
      <c r="D188" s="7" t="str">
        <f>"罗廷燕"</f>
        <v>罗廷燕</v>
      </c>
      <c r="E188" s="7" t="str">
        <f t="shared" si="7"/>
        <v>女</v>
      </c>
      <c r="F188" s="7" t="str">
        <f>"1997-03-08"</f>
        <v>1997-03-08</v>
      </c>
      <c r="G188" s="6"/>
    </row>
    <row r="189" spans="1:7" ht="30" customHeight="1">
      <c r="A189" s="6">
        <v>187</v>
      </c>
      <c r="B189" s="7" t="str">
        <f>"264320201011154334389"</f>
        <v>264320201011154334389</v>
      </c>
      <c r="C189" s="7" t="s">
        <v>9</v>
      </c>
      <c r="D189" s="7" t="str">
        <f>"潘星宇"</f>
        <v>潘星宇</v>
      </c>
      <c r="E189" s="7" t="str">
        <f t="shared" si="7"/>
        <v>女</v>
      </c>
      <c r="F189" s="7" t="str">
        <f>"1997-05-23"</f>
        <v>1997-05-23</v>
      </c>
      <c r="G189" s="6"/>
    </row>
    <row r="190" spans="1:7" ht="30" customHeight="1">
      <c r="A190" s="6">
        <v>188</v>
      </c>
      <c r="B190" s="7" t="str">
        <f>"264320201011154525390"</f>
        <v>264320201011154525390</v>
      </c>
      <c r="C190" s="7" t="s">
        <v>9</v>
      </c>
      <c r="D190" s="7" t="str">
        <f>"戴丹丹"</f>
        <v>戴丹丹</v>
      </c>
      <c r="E190" s="7" t="str">
        <f t="shared" si="7"/>
        <v>女</v>
      </c>
      <c r="F190" s="7" t="str">
        <f>"1996-05-06"</f>
        <v>1996-05-06</v>
      </c>
      <c r="G190" s="6"/>
    </row>
    <row r="191" spans="1:7" ht="30" customHeight="1">
      <c r="A191" s="6">
        <v>189</v>
      </c>
      <c r="B191" s="7" t="str">
        <f>"264320201011195507402"</f>
        <v>264320201011195507402</v>
      </c>
      <c r="C191" s="7" t="s">
        <v>9</v>
      </c>
      <c r="D191" s="7" t="str">
        <f>"陈冬梅"</f>
        <v>陈冬梅</v>
      </c>
      <c r="E191" s="7" t="str">
        <f t="shared" si="7"/>
        <v>女</v>
      </c>
      <c r="F191" s="7" t="str">
        <f>"1989-12-23"</f>
        <v>1989-12-23</v>
      </c>
      <c r="G191" s="6"/>
    </row>
    <row r="192" spans="1:7" ht="30" customHeight="1">
      <c r="A192" s="6">
        <v>190</v>
      </c>
      <c r="B192" s="7" t="str">
        <f>"264320201011211547410"</f>
        <v>264320201011211547410</v>
      </c>
      <c r="C192" s="7" t="s">
        <v>9</v>
      </c>
      <c r="D192" s="7" t="str">
        <f>"符毓伍"</f>
        <v>符毓伍</v>
      </c>
      <c r="E192" s="7" t="str">
        <f>"男"</f>
        <v>男</v>
      </c>
      <c r="F192" s="7" t="str">
        <f>"1996-12-22"</f>
        <v>1996-12-22</v>
      </c>
      <c r="G192" s="6"/>
    </row>
    <row r="193" spans="1:7" ht="30" customHeight="1">
      <c r="A193" s="6">
        <v>191</v>
      </c>
      <c r="B193" s="7" t="str">
        <f>"264320201011222024415"</f>
        <v>264320201011222024415</v>
      </c>
      <c r="C193" s="7" t="s">
        <v>9</v>
      </c>
      <c r="D193" s="7" t="str">
        <f>"黎棉棉"</f>
        <v>黎棉棉</v>
      </c>
      <c r="E193" s="7" t="str">
        <f>"女"</f>
        <v>女</v>
      </c>
      <c r="F193" s="7" t="str">
        <f>"1990-12-07"</f>
        <v>1990-12-07</v>
      </c>
      <c r="G193" s="6"/>
    </row>
    <row r="194" spans="1:7" ht="30" customHeight="1">
      <c r="A194" s="6">
        <v>192</v>
      </c>
      <c r="B194" s="7" t="str">
        <f>"264320201011230008419"</f>
        <v>264320201011230008419</v>
      </c>
      <c r="C194" s="7" t="s">
        <v>9</v>
      </c>
      <c r="D194" s="7" t="str">
        <f>"杨世敏"</f>
        <v>杨世敏</v>
      </c>
      <c r="E194" s="7" t="str">
        <f>"女"</f>
        <v>女</v>
      </c>
      <c r="F194" s="7" t="str">
        <f>"1985-08-10"</f>
        <v>1985-08-10</v>
      </c>
      <c r="G194" s="6"/>
    </row>
    <row r="195" spans="1:7" ht="30" customHeight="1">
      <c r="A195" s="6">
        <v>193</v>
      </c>
      <c r="B195" s="7" t="str">
        <f>"264320201012092417431"</f>
        <v>264320201012092417431</v>
      </c>
      <c r="C195" s="7" t="s">
        <v>9</v>
      </c>
      <c r="D195" s="7" t="str">
        <f>"王宇曦"</f>
        <v>王宇曦</v>
      </c>
      <c r="E195" s="7" t="str">
        <f>"女"</f>
        <v>女</v>
      </c>
      <c r="F195" s="7" t="str">
        <f>"1992-05-24"</f>
        <v>1992-05-24</v>
      </c>
      <c r="G195" s="6"/>
    </row>
    <row r="196" spans="1:7" ht="30" customHeight="1">
      <c r="A196" s="6">
        <v>194</v>
      </c>
      <c r="B196" s="7" t="str">
        <f>"264320201012095438434"</f>
        <v>264320201012095438434</v>
      </c>
      <c r="C196" s="7" t="s">
        <v>9</v>
      </c>
      <c r="D196" s="7" t="str">
        <f>"谢勇强"</f>
        <v>谢勇强</v>
      </c>
      <c r="E196" s="7" t="str">
        <f>"男"</f>
        <v>男</v>
      </c>
      <c r="F196" s="7" t="str">
        <f>"1988-03-07"</f>
        <v>1988-03-07</v>
      </c>
      <c r="G196" s="6"/>
    </row>
    <row r="197" spans="1:7" ht="30" customHeight="1">
      <c r="A197" s="6">
        <v>195</v>
      </c>
      <c r="B197" s="7" t="str">
        <f>"264320201012101616439"</f>
        <v>264320201012101616439</v>
      </c>
      <c r="C197" s="7" t="s">
        <v>9</v>
      </c>
      <c r="D197" s="7" t="str">
        <f>"游敏"</f>
        <v>游敏</v>
      </c>
      <c r="E197" s="7" t="str">
        <f>"女"</f>
        <v>女</v>
      </c>
      <c r="F197" s="7" t="str">
        <f>"1996-03-22"</f>
        <v>1996-03-22</v>
      </c>
      <c r="G197" s="6"/>
    </row>
    <row r="198" spans="1:7" ht="30" customHeight="1">
      <c r="A198" s="6">
        <v>196</v>
      </c>
      <c r="B198" s="7" t="str">
        <f>"264320201012103708443"</f>
        <v>264320201012103708443</v>
      </c>
      <c r="C198" s="7" t="s">
        <v>9</v>
      </c>
      <c r="D198" s="7" t="str">
        <f>"赵壮青"</f>
        <v>赵壮青</v>
      </c>
      <c r="E198" s="7" t="str">
        <f>"女"</f>
        <v>女</v>
      </c>
      <c r="F198" s="7" t="str">
        <f>"1991-08-18"</f>
        <v>1991-08-18</v>
      </c>
      <c r="G198" s="6"/>
    </row>
    <row r="199" spans="1:7" ht="30" customHeight="1">
      <c r="A199" s="6">
        <v>197</v>
      </c>
      <c r="B199" s="7" t="str">
        <f>"264320201012110118446"</f>
        <v>264320201012110118446</v>
      </c>
      <c r="C199" s="7" t="s">
        <v>9</v>
      </c>
      <c r="D199" s="7" t="str">
        <f>"符瑶璇"</f>
        <v>符瑶璇</v>
      </c>
      <c r="E199" s="7" t="str">
        <f>"女"</f>
        <v>女</v>
      </c>
      <c r="F199" s="7" t="str">
        <f>"1996-03-18"</f>
        <v>1996-03-18</v>
      </c>
      <c r="G199" s="6"/>
    </row>
    <row r="200" spans="1:7" ht="30" customHeight="1">
      <c r="A200" s="6">
        <v>198</v>
      </c>
      <c r="B200" s="7" t="str">
        <f>"264320201012110411447"</f>
        <v>264320201012110411447</v>
      </c>
      <c r="C200" s="7" t="s">
        <v>9</v>
      </c>
      <c r="D200" s="7" t="str">
        <f>"陈骄玉"</f>
        <v>陈骄玉</v>
      </c>
      <c r="E200" s="7" t="str">
        <f>"女"</f>
        <v>女</v>
      </c>
      <c r="F200" s="7" t="str">
        <f>"1993-11-16"</f>
        <v>1993-11-16</v>
      </c>
      <c r="G200" s="6"/>
    </row>
    <row r="201" spans="1:7" ht="30" customHeight="1">
      <c r="A201" s="6">
        <v>199</v>
      </c>
      <c r="B201" s="7" t="str">
        <f>"264320201012110529448"</f>
        <v>264320201012110529448</v>
      </c>
      <c r="C201" s="7" t="s">
        <v>9</v>
      </c>
      <c r="D201" s="7" t="str">
        <f>"刘恒"</f>
        <v>刘恒</v>
      </c>
      <c r="E201" s="7" t="str">
        <f>"女"</f>
        <v>女</v>
      </c>
      <c r="F201" s="7" t="str">
        <f>"1996-12-23"</f>
        <v>1996-12-23</v>
      </c>
      <c r="G201" s="6"/>
    </row>
    <row r="202" spans="1:7" ht="30" customHeight="1">
      <c r="A202" s="6">
        <v>200</v>
      </c>
      <c r="B202" s="7" t="str">
        <f>"264320201012112245452"</f>
        <v>264320201012112245452</v>
      </c>
      <c r="C202" s="7" t="s">
        <v>9</v>
      </c>
      <c r="D202" s="7" t="str">
        <f>"林泽欣"</f>
        <v>林泽欣</v>
      </c>
      <c r="E202" s="7" t="str">
        <f>"男"</f>
        <v>男</v>
      </c>
      <c r="F202" s="7" t="str">
        <f>"1992-09-19"</f>
        <v>1992-09-19</v>
      </c>
      <c r="G202" s="6"/>
    </row>
    <row r="203" spans="1:7" ht="30" customHeight="1">
      <c r="A203" s="6">
        <v>201</v>
      </c>
      <c r="B203" s="7" t="str">
        <f>"264320201012113000454"</f>
        <v>264320201012113000454</v>
      </c>
      <c r="C203" s="7" t="s">
        <v>9</v>
      </c>
      <c r="D203" s="7" t="str">
        <f>"陈惠充"</f>
        <v>陈惠充</v>
      </c>
      <c r="E203" s="7" t="str">
        <f>"女"</f>
        <v>女</v>
      </c>
      <c r="F203" s="7" t="str">
        <f>"1991-09-25"</f>
        <v>1991-09-25</v>
      </c>
      <c r="G203" s="6"/>
    </row>
    <row r="204" spans="1:7" ht="30" customHeight="1">
      <c r="A204" s="6">
        <v>202</v>
      </c>
      <c r="B204" s="7" t="str">
        <f>"264320201012142849466"</f>
        <v>264320201012142849466</v>
      </c>
      <c r="C204" s="7" t="s">
        <v>9</v>
      </c>
      <c r="D204" s="7" t="str">
        <f>"王丝雨"</f>
        <v>王丝雨</v>
      </c>
      <c r="E204" s="7" t="str">
        <f>"女"</f>
        <v>女</v>
      </c>
      <c r="F204" s="7" t="str">
        <f>"1995-08-26"</f>
        <v>1995-08-26</v>
      </c>
      <c r="G204" s="6"/>
    </row>
    <row r="205" spans="1:7" ht="30" customHeight="1">
      <c r="A205" s="6">
        <v>203</v>
      </c>
      <c r="B205" s="7" t="str">
        <f>"264320201012160038479"</f>
        <v>264320201012160038479</v>
      </c>
      <c r="C205" s="7" t="s">
        <v>9</v>
      </c>
      <c r="D205" s="7" t="str">
        <f>"陈亮琼"</f>
        <v>陈亮琼</v>
      </c>
      <c r="E205" s="7" t="str">
        <f>"女"</f>
        <v>女</v>
      </c>
      <c r="F205" s="7" t="str">
        <f>"1992-08-23"</f>
        <v>1992-08-23</v>
      </c>
      <c r="G205" s="6"/>
    </row>
    <row r="206" spans="1:7" ht="30" customHeight="1">
      <c r="A206" s="6">
        <v>204</v>
      </c>
      <c r="B206" s="7" t="str">
        <f>"264320201012161552481"</f>
        <v>264320201012161552481</v>
      </c>
      <c r="C206" s="7" t="s">
        <v>9</v>
      </c>
      <c r="D206" s="7" t="str">
        <f>"祁新荧"</f>
        <v>祁新荧</v>
      </c>
      <c r="E206" s="7" t="str">
        <f>"女"</f>
        <v>女</v>
      </c>
      <c r="F206" s="7" t="str">
        <f>"1992-02-17"</f>
        <v>1992-02-17</v>
      </c>
      <c r="G206" s="6"/>
    </row>
    <row r="207" spans="1:7" ht="30" customHeight="1">
      <c r="A207" s="6">
        <v>205</v>
      </c>
      <c r="B207" s="7" t="str">
        <f>"264320201012165910486"</f>
        <v>264320201012165910486</v>
      </c>
      <c r="C207" s="7" t="s">
        <v>9</v>
      </c>
      <c r="D207" s="7" t="str">
        <f>"韦温馨"</f>
        <v>韦温馨</v>
      </c>
      <c r="E207" s="7" t="str">
        <f>"女"</f>
        <v>女</v>
      </c>
      <c r="F207" s="7" t="str">
        <f>"1996-05-13"</f>
        <v>1996-05-13</v>
      </c>
      <c r="G207" s="6"/>
    </row>
    <row r="208" spans="1:7" ht="30" customHeight="1">
      <c r="A208" s="6">
        <v>206</v>
      </c>
      <c r="B208" s="7" t="str">
        <f>"264320201012172736490"</f>
        <v>264320201012172736490</v>
      </c>
      <c r="C208" s="7" t="s">
        <v>9</v>
      </c>
      <c r="D208" s="7" t="str">
        <f>"陈晓径"</f>
        <v>陈晓径</v>
      </c>
      <c r="E208" s="7" t="str">
        <f>"男"</f>
        <v>男</v>
      </c>
      <c r="F208" s="7" t="str">
        <f>"1994-10-28"</f>
        <v>1994-10-28</v>
      </c>
      <c r="G208" s="6"/>
    </row>
    <row r="209" spans="1:7" ht="30" customHeight="1">
      <c r="A209" s="6">
        <v>207</v>
      </c>
      <c r="B209" s="7" t="str">
        <f>"264320201012210749502"</f>
        <v>264320201012210749502</v>
      </c>
      <c r="C209" s="7" t="s">
        <v>9</v>
      </c>
      <c r="D209" s="7" t="str">
        <f>"吴元清"</f>
        <v>吴元清</v>
      </c>
      <c r="E209" s="7" t="str">
        <f aca="true" t="shared" si="8" ref="E209:E214">"女"</f>
        <v>女</v>
      </c>
      <c r="F209" s="7" t="str">
        <f>"1995-01-10"</f>
        <v>1995-01-10</v>
      </c>
      <c r="G209" s="6"/>
    </row>
    <row r="210" spans="1:7" ht="30" customHeight="1">
      <c r="A210" s="6">
        <v>208</v>
      </c>
      <c r="B210" s="7" t="str">
        <f>"264320201012223504505"</f>
        <v>264320201012223504505</v>
      </c>
      <c r="C210" s="7" t="s">
        <v>9</v>
      </c>
      <c r="D210" s="7" t="str">
        <f>"符前音"</f>
        <v>符前音</v>
      </c>
      <c r="E210" s="7" t="str">
        <f t="shared" si="8"/>
        <v>女</v>
      </c>
      <c r="F210" s="7" t="str">
        <f>"1992-10-10"</f>
        <v>1992-10-10</v>
      </c>
      <c r="G210" s="6"/>
    </row>
    <row r="211" spans="1:7" ht="30" customHeight="1">
      <c r="A211" s="6">
        <v>209</v>
      </c>
      <c r="B211" s="7" t="str">
        <f>"264320201012224042506"</f>
        <v>264320201012224042506</v>
      </c>
      <c r="C211" s="7" t="s">
        <v>9</v>
      </c>
      <c r="D211" s="7" t="str">
        <f>"李玲"</f>
        <v>李玲</v>
      </c>
      <c r="E211" s="7" t="str">
        <f t="shared" si="8"/>
        <v>女</v>
      </c>
      <c r="F211" s="7" t="str">
        <f>"1993-04-11"</f>
        <v>1993-04-11</v>
      </c>
      <c r="G211" s="6"/>
    </row>
    <row r="212" spans="1:7" ht="30" customHeight="1">
      <c r="A212" s="6">
        <v>210</v>
      </c>
      <c r="B212" s="7" t="str">
        <f>"264320201013092349519"</f>
        <v>264320201013092349519</v>
      </c>
      <c r="C212" s="7" t="s">
        <v>9</v>
      </c>
      <c r="D212" s="7" t="str">
        <f>"李丽梅"</f>
        <v>李丽梅</v>
      </c>
      <c r="E212" s="7" t="str">
        <f t="shared" si="8"/>
        <v>女</v>
      </c>
      <c r="F212" s="7" t="str">
        <f>"1992-09-26"</f>
        <v>1992-09-26</v>
      </c>
      <c r="G212" s="6"/>
    </row>
    <row r="213" spans="1:7" ht="30" customHeight="1">
      <c r="A213" s="6">
        <v>211</v>
      </c>
      <c r="B213" s="7" t="str">
        <f>"264320201013105949529"</f>
        <v>264320201013105949529</v>
      </c>
      <c r="C213" s="7" t="s">
        <v>9</v>
      </c>
      <c r="D213" s="7" t="str">
        <f>"张莉莉"</f>
        <v>张莉莉</v>
      </c>
      <c r="E213" s="7" t="str">
        <f t="shared" si="8"/>
        <v>女</v>
      </c>
      <c r="F213" s="7" t="str">
        <f>"1985-08-12"</f>
        <v>1985-08-12</v>
      </c>
      <c r="G213" s="6"/>
    </row>
    <row r="214" spans="1:7" ht="30" customHeight="1">
      <c r="A214" s="6">
        <v>212</v>
      </c>
      <c r="B214" s="7" t="str">
        <f>"264320201013131703535"</f>
        <v>264320201013131703535</v>
      </c>
      <c r="C214" s="7" t="s">
        <v>9</v>
      </c>
      <c r="D214" s="7" t="str">
        <f>"王莉莉"</f>
        <v>王莉莉</v>
      </c>
      <c r="E214" s="7" t="str">
        <f t="shared" si="8"/>
        <v>女</v>
      </c>
      <c r="F214" s="7" t="str">
        <f>"1995-01-20"</f>
        <v>1995-01-20</v>
      </c>
      <c r="G214" s="6"/>
    </row>
    <row r="215" spans="1:7" ht="30" customHeight="1">
      <c r="A215" s="6">
        <v>213</v>
      </c>
      <c r="B215" s="7" t="str">
        <f>"264320201013134155536"</f>
        <v>264320201013134155536</v>
      </c>
      <c r="C215" s="7" t="s">
        <v>9</v>
      </c>
      <c r="D215" s="7" t="str">
        <f>"李道健"</f>
        <v>李道健</v>
      </c>
      <c r="E215" s="7" t="str">
        <f>"男"</f>
        <v>男</v>
      </c>
      <c r="F215" s="7" t="str">
        <f>"1997-05-22"</f>
        <v>1997-05-22</v>
      </c>
      <c r="G215" s="6"/>
    </row>
    <row r="216" spans="1:7" ht="30" customHeight="1">
      <c r="A216" s="6">
        <v>214</v>
      </c>
      <c r="B216" s="7" t="str">
        <f>"264320201013152045543"</f>
        <v>264320201013152045543</v>
      </c>
      <c r="C216" s="7" t="s">
        <v>9</v>
      </c>
      <c r="D216" s="7" t="str">
        <f>"邹彤"</f>
        <v>邹彤</v>
      </c>
      <c r="E216" s="7" t="str">
        <f aca="true" t="shared" si="9" ref="E216:E225">"女"</f>
        <v>女</v>
      </c>
      <c r="F216" s="7" t="str">
        <f>"1995-04-18"</f>
        <v>1995-04-18</v>
      </c>
      <c r="G216" s="6"/>
    </row>
    <row r="217" spans="1:7" ht="30" customHeight="1">
      <c r="A217" s="6">
        <v>215</v>
      </c>
      <c r="B217" s="7" t="str">
        <f>"264320201013154026547"</f>
        <v>264320201013154026547</v>
      </c>
      <c r="C217" s="7" t="s">
        <v>9</v>
      </c>
      <c r="D217" s="7" t="str">
        <f>"黎小瑜"</f>
        <v>黎小瑜</v>
      </c>
      <c r="E217" s="7" t="str">
        <f t="shared" si="9"/>
        <v>女</v>
      </c>
      <c r="F217" s="7" t="str">
        <f>"1995-08-07"</f>
        <v>1995-08-07</v>
      </c>
      <c r="G217" s="6"/>
    </row>
    <row r="218" spans="1:7" ht="30" customHeight="1">
      <c r="A218" s="6">
        <v>216</v>
      </c>
      <c r="B218" s="7" t="str">
        <f>"264320201014101748587"</f>
        <v>264320201014101748587</v>
      </c>
      <c r="C218" s="7" t="s">
        <v>9</v>
      </c>
      <c r="D218" s="7" t="str">
        <f>"柴源"</f>
        <v>柴源</v>
      </c>
      <c r="E218" s="7" t="str">
        <f t="shared" si="9"/>
        <v>女</v>
      </c>
      <c r="F218" s="7" t="str">
        <f>"1993-10-24"</f>
        <v>1993-10-24</v>
      </c>
      <c r="G218" s="6"/>
    </row>
    <row r="219" spans="1:7" ht="30" customHeight="1">
      <c r="A219" s="6">
        <v>217</v>
      </c>
      <c r="B219" s="7" t="str">
        <f>"264320201014122719597"</f>
        <v>264320201014122719597</v>
      </c>
      <c r="C219" s="7" t="s">
        <v>9</v>
      </c>
      <c r="D219" s="7" t="str">
        <f>"黄芳菲"</f>
        <v>黄芳菲</v>
      </c>
      <c r="E219" s="7" t="str">
        <f t="shared" si="9"/>
        <v>女</v>
      </c>
      <c r="F219" s="7" t="str">
        <f>"1995-10-21"</f>
        <v>1995-10-21</v>
      </c>
      <c r="G219" s="6"/>
    </row>
    <row r="220" spans="1:7" ht="30" customHeight="1">
      <c r="A220" s="6">
        <v>218</v>
      </c>
      <c r="B220" s="7" t="str">
        <f>"264320201014150931606"</f>
        <v>264320201014150931606</v>
      </c>
      <c r="C220" s="7" t="s">
        <v>9</v>
      </c>
      <c r="D220" s="7" t="str">
        <f>"石荷娜"</f>
        <v>石荷娜</v>
      </c>
      <c r="E220" s="7" t="str">
        <f t="shared" si="9"/>
        <v>女</v>
      </c>
      <c r="F220" s="7" t="str">
        <f>"1989-06-26"</f>
        <v>1989-06-26</v>
      </c>
      <c r="G220" s="6"/>
    </row>
    <row r="221" spans="1:7" ht="30" customHeight="1">
      <c r="A221" s="6">
        <v>219</v>
      </c>
      <c r="B221" s="7" t="str">
        <f>"264320201014152808608"</f>
        <v>264320201014152808608</v>
      </c>
      <c r="C221" s="7" t="s">
        <v>9</v>
      </c>
      <c r="D221" s="7" t="str">
        <f>"陈甜甜"</f>
        <v>陈甜甜</v>
      </c>
      <c r="E221" s="7" t="str">
        <f t="shared" si="9"/>
        <v>女</v>
      </c>
      <c r="F221" s="7" t="str">
        <f>"1988-12-13"</f>
        <v>1988-12-13</v>
      </c>
      <c r="G221" s="6"/>
    </row>
    <row r="222" spans="1:7" ht="30" customHeight="1">
      <c r="A222" s="6">
        <v>220</v>
      </c>
      <c r="B222" s="7" t="str">
        <f>"264320201015111452651"</f>
        <v>264320201015111452651</v>
      </c>
      <c r="C222" s="7" t="s">
        <v>9</v>
      </c>
      <c r="D222" s="7" t="str">
        <f>"樊清巧"</f>
        <v>樊清巧</v>
      </c>
      <c r="E222" s="7" t="str">
        <f t="shared" si="9"/>
        <v>女</v>
      </c>
      <c r="F222" s="7" t="str">
        <f>"1993-04-04"</f>
        <v>1993-04-04</v>
      </c>
      <c r="G222" s="6"/>
    </row>
    <row r="223" spans="1:7" ht="30" customHeight="1">
      <c r="A223" s="6">
        <v>221</v>
      </c>
      <c r="B223" s="7" t="str">
        <f>"264320201015133901659"</f>
        <v>264320201015133901659</v>
      </c>
      <c r="C223" s="7" t="s">
        <v>9</v>
      </c>
      <c r="D223" s="7" t="str">
        <f>"刘畅"</f>
        <v>刘畅</v>
      </c>
      <c r="E223" s="7" t="str">
        <f t="shared" si="9"/>
        <v>女</v>
      </c>
      <c r="F223" s="7" t="str">
        <f>"1989-10-02"</f>
        <v>1989-10-02</v>
      </c>
      <c r="G223" s="6"/>
    </row>
    <row r="224" spans="1:7" ht="30" customHeight="1">
      <c r="A224" s="6">
        <v>222</v>
      </c>
      <c r="B224" s="7" t="str">
        <f>"264320201015150453663"</f>
        <v>264320201015150453663</v>
      </c>
      <c r="C224" s="7" t="s">
        <v>9</v>
      </c>
      <c r="D224" s="7" t="str">
        <f>"陈欢欢"</f>
        <v>陈欢欢</v>
      </c>
      <c r="E224" s="7" t="str">
        <f t="shared" si="9"/>
        <v>女</v>
      </c>
      <c r="F224" s="7" t="str">
        <f>"1991-04-06"</f>
        <v>1991-04-06</v>
      </c>
      <c r="G224" s="6"/>
    </row>
    <row r="225" spans="1:7" ht="30" customHeight="1">
      <c r="A225" s="6">
        <v>223</v>
      </c>
      <c r="B225" s="7" t="str">
        <f>"264320201015160754669"</f>
        <v>264320201015160754669</v>
      </c>
      <c r="C225" s="7" t="s">
        <v>9</v>
      </c>
      <c r="D225" s="7" t="str">
        <f>"王莹"</f>
        <v>王莹</v>
      </c>
      <c r="E225" s="7" t="str">
        <f t="shared" si="9"/>
        <v>女</v>
      </c>
      <c r="F225" s="7" t="str">
        <f>"1997-09-02"</f>
        <v>1997-09-02</v>
      </c>
      <c r="G225" s="6"/>
    </row>
    <row r="226" spans="1:7" ht="30" customHeight="1">
      <c r="A226" s="6">
        <v>224</v>
      </c>
      <c r="B226" s="7" t="str">
        <f>"264320201015194042678"</f>
        <v>264320201015194042678</v>
      </c>
      <c r="C226" s="7" t="s">
        <v>9</v>
      </c>
      <c r="D226" s="7" t="str">
        <f>"林晖程"</f>
        <v>林晖程</v>
      </c>
      <c r="E226" s="7" t="str">
        <f>"男"</f>
        <v>男</v>
      </c>
      <c r="F226" s="7" t="str">
        <f>"1992-09-23"</f>
        <v>1992-09-23</v>
      </c>
      <c r="G226" s="6"/>
    </row>
    <row r="227" spans="1:7" ht="30" customHeight="1">
      <c r="A227" s="6">
        <v>225</v>
      </c>
      <c r="B227" s="7" t="str">
        <f>"264320201015194338679"</f>
        <v>264320201015194338679</v>
      </c>
      <c r="C227" s="7" t="s">
        <v>9</v>
      </c>
      <c r="D227" s="7" t="str">
        <f>"张慧"</f>
        <v>张慧</v>
      </c>
      <c r="E227" s="7" t="str">
        <f>"女"</f>
        <v>女</v>
      </c>
      <c r="F227" s="7" t="str">
        <f>"1989-03-27"</f>
        <v>1989-03-27</v>
      </c>
      <c r="G227" s="6"/>
    </row>
    <row r="228" spans="1:7" ht="30" customHeight="1">
      <c r="A228" s="6">
        <v>226</v>
      </c>
      <c r="B228" s="7" t="str">
        <f>"264320201015215637688"</f>
        <v>264320201015215637688</v>
      </c>
      <c r="C228" s="7" t="s">
        <v>9</v>
      </c>
      <c r="D228" s="7" t="str">
        <f>"陈至佳"</f>
        <v>陈至佳</v>
      </c>
      <c r="E228" s="7" t="str">
        <f>"女"</f>
        <v>女</v>
      </c>
      <c r="F228" s="7" t="str">
        <f>"1993-12-21"</f>
        <v>1993-12-21</v>
      </c>
      <c r="G228" s="6"/>
    </row>
    <row r="229" spans="1:7" ht="30" customHeight="1">
      <c r="A229" s="6">
        <v>227</v>
      </c>
      <c r="B229" s="7" t="str">
        <f>"264320201016113814699"</f>
        <v>264320201016113814699</v>
      </c>
      <c r="C229" s="7" t="s">
        <v>9</v>
      </c>
      <c r="D229" s="7" t="str">
        <f>"张静"</f>
        <v>张静</v>
      </c>
      <c r="E229" s="7" t="str">
        <f>"女"</f>
        <v>女</v>
      </c>
      <c r="F229" s="7" t="str">
        <f>"1986-05-20"</f>
        <v>1986-05-20</v>
      </c>
      <c r="G229" s="6"/>
    </row>
    <row r="230" spans="1:7" ht="30" customHeight="1">
      <c r="A230" s="6">
        <v>228</v>
      </c>
      <c r="B230" s="7" t="str">
        <f>"264320201016125656700"</f>
        <v>264320201016125656700</v>
      </c>
      <c r="C230" s="7" t="s">
        <v>9</v>
      </c>
      <c r="D230" s="7" t="str">
        <f>"覃逍志"</f>
        <v>覃逍志</v>
      </c>
      <c r="E230" s="7" t="str">
        <f>"男"</f>
        <v>男</v>
      </c>
      <c r="F230" s="7" t="str">
        <f>"1990-03-24"</f>
        <v>1990-03-24</v>
      </c>
      <c r="G230" s="6"/>
    </row>
    <row r="231" spans="1:7" ht="30" customHeight="1">
      <c r="A231" s="6">
        <v>229</v>
      </c>
      <c r="B231" s="7" t="str">
        <f>"264320201017160432726"</f>
        <v>264320201017160432726</v>
      </c>
      <c r="C231" s="7" t="s">
        <v>9</v>
      </c>
      <c r="D231" s="7" t="str">
        <f>"杨庆庆"</f>
        <v>杨庆庆</v>
      </c>
      <c r="E231" s="7" t="str">
        <f aca="true" t="shared" si="10" ref="E231:E236">"女"</f>
        <v>女</v>
      </c>
      <c r="F231" s="7" t="str">
        <f>"1987-11-04"</f>
        <v>1987-11-04</v>
      </c>
      <c r="G231" s="6"/>
    </row>
    <row r="232" spans="1:7" ht="30" customHeight="1">
      <c r="A232" s="6">
        <v>230</v>
      </c>
      <c r="B232" s="7" t="str">
        <f>"264320201018112014748"</f>
        <v>264320201018112014748</v>
      </c>
      <c r="C232" s="7" t="s">
        <v>9</v>
      </c>
      <c r="D232" s="7" t="str">
        <f>"岑雄蓉"</f>
        <v>岑雄蓉</v>
      </c>
      <c r="E232" s="7" t="str">
        <f t="shared" si="10"/>
        <v>女</v>
      </c>
      <c r="F232" s="7" t="str">
        <f>"1995-01-16"</f>
        <v>1995-01-16</v>
      </c>
      <c r="G232" s="6"/>
    </row>
    <row r="233" spans="1:7" ht="30" customHeight="1">
      <c r="A233" s="6">
        <v>231</v>
      </c>
      <c r="B233" s="7" t="str">
        <f>"264320201018115114749"</f>
        <v>264320201018115114749</v>
      </c>
      <c r="C233" s="7" t="s">
        <v>9</v>
      </c>
      <c r="D233" s="7" t="str">
        <f>"李虹帆"</f>
        <v>李虹帆</v>
      </c>
      <c r="E233" s="7" t="str">
        <f t="shared" si="10"/>
        <v>女</v>
      </c>
      <c r="F233" s="7" t="str">
        <f>"1993-04-11"</f>
        <v>1993-04-11</v>
      </c>
      <c r="G233" s="6"/>
    </row>
    <row r="234" spans="1:7" ht="30" customHeight="1">
      <c r="A234" s="6">
        <v>232</v>
      </c>
      <c r="B234" s="7" t="str">
        <f>"264320201018121819750"</f>
        <v>264320201018121819750</v>
      </c>
      <c r="C234" s="7" t="s">
        <v>9</v>
      </c>
      <c r="D234" s="7" t="str">
        <f>"苏晴"</f>
        <v>苏晴</v>
      </c>
      <c r="E234" s="7" t="str">
        <f t="shared" si="10"/>
        <v>女</v>
      </c>
      <c r="F234" s="7" t="str">
        <f>"1991-02-26"</f>
        <v>1991-02-26</v>
      </c>
      <c r="G234" s="6"/>
    </row>
    <row r="235" spans="1:7" ht="30" customHeight="1">
      <c r="A235" s="6">
        <v>233</v>
      </c>
      <c r="B235" s="7" t="str">
        <f>"264320201018132459752"</f>
        <v>264320201018132459752</v>
      </c>
      <c r="C235" s="7" t="s">
        <v>9</v>
      </c>
      <c r="D235" s="7" t="str">
        <f>"林亭含"</f>
        <v>林亭含</v>
      </c>
      <c r="E235" s="7" t="str">
        <f t="shared" si="10"/>
        <v>女</v>
      </c>
      <c r="F235" s="7" t="str">
        <f>"1993-06-29"</f>
        <v>1993-06-29</v>
      </c>
      <c r="G235" s="6"/>
    </row>
    <row r="236" spans="1:7" ht="30" customHeight="1">
      <c r="A236" s="6">
        <v>234</v>
      </c>
      <c r="B236" s="7" t="str">
        <f>"264320201018133310753"</f>
        <v>264320201018133310753</v>
      </c>
      <c r="C236" s="7" t="s">
        <v>9</v>
      </c>
      <c r="D236" s="7" t="str">
        <f>"吕柳"</f>
        <v>吕柳</v>
      </c>
      <c r="E236" s="7" t="str">
        <f t="shared" si="10"/>
        <v>女</v>
      </c>
      <c r="F236" s="7" t="str">
        <f>"1987-06-11"</f>
        <v>1987-06-11</v>
      </c>
      <c r="G236" s="6"/>
    </row>
    <row r="237" spans="1:7" ht="30" customHeight="1">
      <c r="A237" s="6">
        <v>235</v>
      </c>
      <c r="B237" s="7" t="str">
        <f>"264320201018172243758"</f>
        <v>264320201018172243758</v>
      </c>
      <c r="C237" s="7" t="s">
        <v>9</v>
      </c>
      <c r="D237" s="7" t="str">
        <f>"陈锋"</f>
        <v>陈锋</v>
      </c>
      <c r="E237" s="7" t="str">
        <f>"男"</f>
        <v>男</v>
      </c>
      <c r="F237" s="7" t="str">
        <f>"1993-05-11"</f>
        <v>1993-05-11</v>
      </c>
      <c r="G237" s="6"/>
    </row>
    <row r="238" spans="1:7" ht="30" customHeight="1">
      <c r="A238" s="6">
        <v>236</v>
      </c>
      <c r="B238" s="7" t="str">
        <f>"264320201018230654777"</f>
        <v>264320201018230654777</v>
      </c>
      <c r="C238" s="7" t="s">
        <v>9</v>
      </c>
      <c r="D238" s="7" t="str">
        <f>"容远"</f>
        <v>容远</v>
      </c>
      <c r="E238" s="7" t="str">
        <f>"女"</f>
        <v>女</v>
      </c>
      <c r="F238" s="7" t="str">
        <f>"1987-08-26"</f>
        <v>1987-08-26</v>
      </c>
      <c r="G238" s="6"/>
    </row>
    <row r="239" spans="1:7" ht="30" customHeight="1">
      <c r="A239" s="6">
        <v>237</v>
      </c>
      <c r="B239" s="7" t="str">
        <f>"264320201018231103779"</f>
        <v>264320201018231103779</v>
      </c>
      <c r="C239" s="7" t="s">
        <v>9</v>
      </c>
      <c r="D239" s="7" t="str">
        <f>"沈彩梦"</f>
        <v>沈彩梦</v>
      </c>
      <c r="E239" s="7" t="str">
        <f>"女"</f>
        <v>女</v>
      </c>
      <c r="F239" s="7" t="str">
        <f>"1991-07-16"</f>
        <v>1991-07-16</v>
      </c>
      <c r="G239" s="6"/>
    </row>
    <row r="240" spans="1:7" ht="30" customHeight="1">
      <c r="A240" s="6">
        <v>238</v>
      </c>
      <c r="B240" s="7" t="str">
        <f>"264320201019120408808"</f>
        <v>264320201019120408808</v>
      </c>
      <c r="C240" s="7" t="s">
        <v>9</v>
      </c>
      <c r="D240" s="7" t="str">
        <f>"黎佩"</f>
        <v>黎佩</v>
      </c>
      <c r="E240" s="7" t="str">
        <f>"女"</f>
        <v>女</v>
      </c>
      <c r="F240" s="7" t="str">
        <f>"1995-01-06"</f>
        <v>1995-01-06</v>
      </c>
      <c r="G240" s="6"/>
    </row>
    <row r="241" spans="1:7" ht="30" customHeight="1">
      <c r="A241" s="6">
        <v>239</v>
      </c>
      <c r="B241" s="7" t="str">
        <f>"264320201019135212824"</f>
        <v>264320201019135212824</v>
      </c>
      <c r="C241" s="7" t="s">
        <v>9</v>
      </c>
      <c r="D241" s="7" t="str">
        <f>"梁钰"</f>
        <v>梁钰</v>
      </c>
      <c r="E241" s="7" t="str">
        <f>"男"</f>
        <v>男</v>
      </c>
      <c r="F241" s="7" t="str">
        <f>"1986-11-06"</f>
        <v>1986-11-06</v>
      </c>
      <c r="G241" s="6"/>
    </row>
    <row r="242" spans="1:7" ht="30" customHeight="1">
      <c r="A242" s="6">
        <v>240</v>
      </c>
      <c r="B242" s="7" t="str">
        <f>"264320201019143637826"</f>
        <v>264320201019143637826</v>
      </c>
      <c r="C242" s="7" t="s">
        <v>9</v>
      </c>
      <c r="D242" s="7" t="str">
        <f>"陈初月"</f>
        <v>陈初月</v>
      </c>
      <c r="E242" s="7" t="str">
        <f aca="true" t="shared" si="11" ref="E242:E258">"女"</f>
        <v>女</v>
      </c>
      <c r="F242" s="7" t="str">
        <f>"1994-12-28"</f>
        <v>1994-12-28</v>
      </c>
      <c r="G242" s="6"/>
    </row>
    <row r="243" spans="1:7" ht="30" customHeight="1">
      <c r="A243" s="6">
        <v>241</v>
      </c>
      <c r="B243" s="7" t="str">
        <f>"264320201019145741827"</f>
        <v>264320201019145741827</v>
      </c>
      <c r="C243" s="7" t="s">
        <v>9</v>
      </c>
      <c r="D243" s="7" t="str">
        <f>"肖荟"</f>
        <v>肖荟</v>
      </c>
      <c r="E243" s="7" t="str">
        <f t="shared" si="11"/>
        <v>女</v>
      </c>
      <c r="F243" s="7" t="str">
        <f>"1997-10-23"</f>
        <v>1997-10-23</v>
      </c>
      <c r="G243" s="6"/>
    </row>
    <row r="244" spans="1:7" ht="30" customHeight="1">
      <c r="A244" s="6">
        <v>242</v>
      </c>
      <c r="B244" s="7" t="str">
        <f>"264320201019150733829"</f>
        <v>264320201019150733829</v>
      </c>
      <c r="C244" s="7" t="s">
        <v>9</v>
      </c>
      <c r="D244" s="7" t="str">
        <f>"林梦"</f>
        <v>林梦</v>
      </c>
      <c r="E244" s="7" t="str">
        <f t="shared" si="11"/>
        <v>女</v>
      </c>
      <c r="F244" s="7" t="str">
        <f>"1992-10-14"</f>
        <v>1992-10-14</v>
      </c>
      <c r="G244" s="6"/>
    </row>
    <row r="245" spans="1:7" ht="30" customHeight="1">
      <c r="A245" s="6">
        <v>243</v>
      </c>
      <c r="B245" s="7" t="str">
        <f>"264320201019152103832"</f>
        <v>264320201019152103832</v>
      </c>
      <c r="C245" s="7" t="s">
        <v>9</v>
      </c>
      <c r="D245" s="7" t="str">
        <f>"林洁秋"</f>
        <v>林洁秋</v>
      </c>
      <c r="E245" s="7" t="str">
        <f t="shared" si="11"/>
        <v>女</v>
      </c>
      <c r="F245" s="7" t="str">
        <f>"1989-08-04"</f>
        <v>1989-08-04</v>
      </c>
      <c r="G245" s="6"/>
    </row>
    <row r="246" spans="1:7" ht="30" customHeight="1">
      <c r="A246" s="6">
        <v>244</v>
      </c>
      <c r="B246" s="7" t="str">
        <f>"264320201019154134836"</f>
        <v>264320201019154134836</v>
      </c>
      <c r="C246" s="7" t="s">
        <v>9</v>
      </c>
      <c r="D246" s="7" t="str">
        <f>"赵佳莉"</f>
        <v>赵佳莉</v>
      </c>
      <c r="E246" s="7" t="str">
        <f t="shared" si="11"/>
        <v>女</v>
      </c>
      <c r="F246" s="7" t="str">
        <f>"1992-05-18"</f>
        <v>1992-05-18</v>
      </c>
      <c r="G246" s="6"/>
    </row>
    <row r="247" spans="1:7" ht="30" customHeight="1">
      <c r="A247" s="6">
        <v>245</v>
      </c>
      <c r="B247" s="7" t="str">
        <f>"264320201019172544847"</f>
        <v>264320201019172544847</v>
      </c>
      <c r="C247" s="7" t="s">
        <v>9</v>
      </c>
      <c r="D247" s="7" t="str">
        <f>"李冬萍"</f>
        <v>李冬萍</v>
      </c>
      <c r="E247" s="7" t="str">
        <f t="shared" si="11"/>
        <v>女</v>
      </c>
      <c r="F247" s="7" t="str">
        <f>"1988-02-09"</f>
        <v>1988-02-09</v>
      </c>
      <c r="G247" s="6"/>
    </row>
    <row r="248" spans="1:7" ht="30" customHeight="1">
      <c r="A248" s="6">
        <v>246</v>
      </c>
      <c r="B248" s="7" t="str">
        <f>"264320201019230414883"</f>
        <v>264320201019230414883</v>
      </c>
      <c r="C248" s="7" t="s">
        <v>9</v>
      </c>
      <c r="D248" s="7" t="str">
        <f>"黎德颖"</f>
        <v>黎德颖</v>
      </c>
      <c r="E248" s="7" t="str">
        <f t="shared" si="11"/>
        <v>女</v>
      </c>
      <c r="F248" s="7" t="str">
        <f>"1992-08-13"</f>
        <v>1992-08-13</v>
      </c>
      <c r="G248" s="6"/>
    </row>
    <row r="249" spans="1:7" ht="30" customHeight="1">
      <c r="A249" s="6">
        <v>247</v>
      </c>
      <c r="B249" s="7" t="str">
        <f>"264320201020103318905"</f>
        <v>264320201020103318905</v>
      </c>
      <c r="C249" s="7" t="s">
        <v>9</v>
      </c>
      <c r="D249" s="7" t="str">
        <f>"梁璐"</f>
        <v>梁璐</v>
      </c>
      <c r="E249" s="7" t="str">
        <f t="shared" si="11"/>
        <v>女</v>
      </c>
      <c r="F249" s="7" t="str">
        <f>"1998-09-02"</f>
        <v>1998-09-02</v>
      </c>
      <c r="G249" s="6"/>
    </row>
    <row r="250" spans="1:7" ht="30" customHeight="1">
      <c r="A250" s="6">
        <v>248</v>
      </c>
      <c r="B250" s="7" t="str">
        <f>"264320201020113530912"</f>
        <v>264320201020113530912</v>
      </c>
      <c r="C250" s="7" t="s">
        <v>9</v>
      </c>
      <c r="D250" s="7" t="str">
        <f>"赵健婷"</f>
        <v>赵健婷</v>
      </c>
      <c r="E250" s="7" t="str">
        <f t="shared" si="11"/>
        <v>女</v>
      </c>
      <c r="F250" s="7" t="str">
        <f>"1994-08-02"</f>
        <v>1994-08-02</v>
      </c>
      <c r="G250" s="6"/>
    </row>
    <row r="251" spans="1:7" ht="30" customHeight="1">
      <c r="A251" s="6">
        <v>249</v>
      </c>
      <c r="B251" s="7" t="str">
        <f>"264320201020131032923"</f>
        <v>264320201020131032923</v>
      </c>
      <c r="C251" s="7" t="s">
        <v>9</v>
      </c>
      <c r="D251" s="7" t="str">
        <f>"孙爱霞"</f>
        <v>孙爱霞</v>
      </c>
      <c r="E251" s="7" t="str">
        <f t="shared" si="11"/>
        <v>女</v>
      </c>
      <c r="F251" s="7" t="str">
        <f>"1986-06-16"</f>
        <v>1986-06-16</v>
      </c>
      <c r="G251" s="6"/>
    </row>
    <row r="252" spans="1:7" ht="30" customHeight="1">
      <c r="A252" s="6">
        <v>250</v>
      </c>
      <c r="B252" s="7" t="str">
        <f>"264320201020134558928"</f>
        <v>264320201020134558928</v>
      </c>
      <c r="C252" s="7" t="s">
        <v>9</v>
      </c>
      <c r="D252" s="7" t="str">
        <f>"吴凯丽"</f>
        <v>吴凯丽</v>
      </c>
      <c r="E252" s="7" t="str">
        <f t="shared" si="11"/>
        <v>女</v>
      </c>
      <c r="F252" s="7" t="str">
        <f>"1994-08-10"</f>
        <v>1994-08-10</v>
      </c>
      <c r="G252" s="6"/>
    </row>
    <row r="253" spans="1:7" ht="30" customHeight="1">
      <c r="A253" s="6">
        <v>251</v>
      </c>
      <c r="B253" s="7" t="str">
        <f>"264320201020163202948"</f>
        <v>264320201020163202948</v>
      </c>
      <c r="C253" s="7" t="s">
        <v>9</v>
      </c>
      <c r="D253" s="7" t="str">
        <f>"王丽婷"</f>
        <v>王丽婷</v>
      </c>
      <c r="E253" s="7" t="str">
        <f t="shared" si="11"/>
        <v>女</v>
      </c>
      <c r="F253" s="7" t="str">
        <f>"1995-06-18"</f>
        <v>1995-06-18</v>
      </c>
      <c r="G253" s="6"/>
    </row>
    <row r="254" spans="1:7" ht="30" customHeight="1">
      <c r="A254" s="6">
        <v>252</v>
      </c>
      <c r="B254" s="7" t="str">
        <f>"26432020100910371245"</f>
        <v>26432020100910371245</v>
      </c>
      <c r="C254" s="7" t="s">
        <v>10</v>
      </c>
      <c r="D254" s="7" t="str">
        <f>"王青姗"</f>
        <v>王青姗</v>
      </c>
      <c r="E254" s="7" t="str">
        <f t="shared" si="11"/>
        <v>女</v>
      </c>
      <c r="F254" s="7" t="str">
        <f>"1998-02-08"</f>
        <v>1998-02-08</v>
      </c>
      <c r="G254" s="6"/>
    </row>
    <row r="255" spans="1:7" ht="30" customHeight="1">
      <c r="A255" s="6">
        <v>253</v>
      </c>
      <c r="B255" s="7" t="str">
        <f>"264320201009153439132"</f>
        <v>264320201009153439132</v>
      </c>
      <c r="C255" s="7" t="s">
        <v>10</v>
      </c>
      <c r="D255" s="7" t="str">
        <f>"叶华玉"</f>
        <v>叶华玉</v>
      </c>
      <c r="E255" s="7" t="str">
        <f t="shared" si="11"/>
        <v>女</v>
      </c>
      <c r="F255" s="7" t="str">
        <f>"1998-08-12"</f>
        <v>1998-08-12</v>
      </c>
      <c r="G255" s="6"/>
    </row>
    <row r="256" spans="1:7" ht="30" customHeight="1">
      <c r="A256" s="6">
        <v>254</v>
      </c>
      <c r="B256" s="7" t="str">
        <f>"264320201011145944386"</f>
        <v>264320201011145944386</v>
      </c>
      <c r="C256" s="7" t="s">
        <v>10</v>
      </c>
      <c r="D256" s="7" t="str">
        <f>"薛婆香"</f>
        <v>薛婆香</v>
      </c>
      <c r="E256" s="7" t="str">
        <f t="shared" si="11"/>
        <v>女</v>
      </c>
      <c r="F256" s="7" t="str">
        <f>"1995-11-12"</f>
        <v>1995-11-12</v>
      </c>
      <c r="G256" s="6"/>
    </row>
    <row r="257" spans="1:7" ht="30" customHeight="1">
      <c r="A257" s="6">
        <v>255</v>
      </c>
      <c r="B257" s="7" t="str">
        <f>"264320201012094109432"</f>
        <v>264320201012094109432</v>
      </c>
      <c r="C257" s="7" t="s">
        <v>10</v>
      </c>
      <c r="D257" s="7" t="str">
        <f>"王东晨"</f>
        <v>王东晨</v>
      </c>
      <c r="E257" s="7" t="str">
        <f t="shared" si="11"/>
        <v>女</v>
      </c>
      <c r="F257" s="7" t="str">
        <f>"1997-05-08"</f>
        <v>1997-05-08</v>
      </c>
      <c r="G257" s="6"/>
    </row>
    <row r="258" spans="1:7" ht="30" customHeight="1">
      <c r="A258" s="6">
        <v>256</v>
      </c>
      <c r="B258" s="7" t="str">
        <f>"264320201013234012577"</f>
        <v>264320201013234012577</v>
      </c>
      <c r="C258" s="7" t="s">
        <v>10</v>
      </c>
      <c r="D258" s="7" t="str">
        <f>"朱彩花"</f>
        <v>朱彩花</v>
      </c>
      <c r="E258" s="7" t="str">
        <f t="shared" si="11"/>
        <v>女</v>
      </c>
      <c r="F258" s="7" t="str">
        <f>"1996-03-06"</f>
        <v>1996-03-06</v>
      </c>
      <c r="G258" s="6"/>
    </row>
    <row r="259" spans="1:7" ht="30" customHeight="1">
      <c r="A259" s="6">
        <v>257</v>
      </c>
      <c r="B259" s="7" t="str">
        <f>"26432020100911032764"</f>
        <v>26432020100911032764</v>
      </c>
      <c r="C259" s="7" t="s">
        <v>11</v>
      </c>
      <c r="D259" s="7" t="str">
        <f>"吴中鑫"</f>
        <v>吴中鑫</v>
      </c>
      <c r="E259" s="7" t="str">
        <f>"男"</f>
        <v>男</v>
      </c>
      <c r="F259" s="7" t="str">
        <f>"1997-05-07"</f>
        <v>1997-05-07</v>
      </c>
      <c r="G259" s="6"/>
    </row>
    <row r="260" spans="1:7" ht="30" customHeight="1">
      <c r="A260" s="6">
        <v>258</v>
      </c>
      <c r="B260" s="7" t="str">
        <f>"26432020100912332594"</f>
        <v>26432020100912332594</v>
      </c>
      <c r="C260" s="7" t="s">
        <v>11</v>
      </c>
      <c r="D260" s="7" t="str">
        <f>"黄怡"</f>
        <v>黄怡</v>
      </c>
      <c r="E260" s="7" t="str">
        <f aca="true" t="shared" si="12" ref="E260:E276">"女"</f>
        <v>女</v>
      </c>
      <c r="F260" s="7" t="str">
        <f>"1998-06-29"</f>
        <v>1998-06-29</v>
      </c>
      <c r="G260" s="6"/>
    </row>
    <row r="261" spans="1:7" ht="30" customHeight="1">
      <c r="A261" s="6">
        <v>259</v>
      </c>
      <c r="B261" s="7" t="str">
        <f>"264320201009140903118"</f>
        <v>264320201009140903118</v>
      </c>
      <c r="C261" s="7" t="s">
        <v>11</v>
      </c>
      <c r="D261" s="7" t="str">
        <f>"黄燕"</f>
        <v>黄燕</v>
      </c>
      <c r="E261" s="7" t="str">
        <f t="shared" si="12"/>
        <v>女</v>
      </c>
      <c r="F261" s="7" t="str">
        <f>"1997-06-20"</f>
        <v>1997-06-20</v>
      </c>
      <c r="G261" s="6"/>
    </row>
    <row r="262" spans="1:7" ht="30" customHeight="1">
      <c r="A262" s="6">
        <v>260</v>
      </c>
      <c r="B262" s="7" t="str">
        <f>"264320201009221415223"</f>
        <v>264320201009221415223</v>
      </c>
      <c r="C262" s="7" t="s">
        <v>11</v>
      </c>
      <c r="D262" s="7" t="str">
        <f>"周丹丹"</f>
        <v>周丹丹</v>
      </c>
      <c r="E262" s="7" t="str">
        <f t="shared" si="12"/>
        <v>女</v>
      </c>
      <c r="F262" s="7" t="str">
        <f>"1996-10-07"</f>
        <v>1996-10-07</v>
      </c>
      <c r="G262" s="6"/>
    </row>
    <row r="263" spans="1:7" ht="30" customHeight="1">
      <c r="A263" s="6">
        <v>261</v>
      </c>
      <c r="B263" s="7" t="str">
        <f>"264320201010084041248"</f>
        <v>264320201010084041248</v>
      </c>
      <c r="C263" s="7" t="s">
        <v>11</v>
      </c>
      <c r="D263" s="7" t="str">
        <f>"全丽颖"</f>
        <v>全丽颖</v>
      </c>
      <c r="E263" s="7" t="str">
        <f t="shared" si="12"/>
        <v>女</v>
      </c>
      <c r="F263" s="7" t="str">
        <f>"1998-08-08"</f>
        <v>1998-08-08</v>
      </c>
      <c r="G263" s="6"/>
    </row>
    <row r="264" spans="1:7" ht="30" customHeight="1">
      <c r="A264" s="6">
        <v>262</v>
      </c>
      <c r="B264" s="7" t="str">
        <f>"264320201010131525290"</f>
        <v>264320201010131525290</v>
      </c>
      <c r="C264" s="7" t="s">
        <v>11</v>
      </c>
      <c r="D264" s="7" t="str">
        <f>"张尚风"</f>
        <v>张尚风</v>
      </c>
      <c r="E264" s="7" t="str">
        <f t="shared" si="12"/>
        <v>女</v>
      </c>
      <c r="F264" s="7" t="str">
        <f>"1997-02-06"</f>
        <v>1997-02-06</v>
      </c>
      <c r="G264" s="6"/>
    </row>
    <row r="265" spans="1:7" ht="30" customHeight="1">
      <c r="A265" s="6">
        <v>263</v>
      </c>
      <c r="B265" s="7" t="str">
        <f>"264320201010173608326"</f>
        <v>264320201010173608326</v>
      </c>
      <c r="C265" s="7" t="s">
        <v>11</v>
      </c>
      <c r="D265" s="7" t="str">
        <f>"陈茵"</f>
        <v>陈茵</v>
      </c>
      <c r="E265" s="7" t="str">
        <f t="shared" si="12"/>
        <v>女</v>
      </c>
      <c r="F265" s="7" t="str">
        <f>"1999-02-25"</f>
        <v>1999-02-25</v>
      </c>
      <c r="G265" s="6"/>
    </row>
    <row r="266" spans="1:7" ht="30" customHeight="1">
      <c r="A266" s="6">
        <v>264</v>
      </c>
      <c r="B266" s="7" t="str">
        <f>"264320201010182027333"</f>
        <v>264320201010182027333</v>
      </c>
      <c r="C266" s="7" t="s">
        <v>11</v>
      </c>
      <c r="D266" s="7" t="str">
        <f>"陈益敏"</f>
        <v>陈益敏</v>
      </c>
      <c r="E266" s="7" t="str">
        <f t="shared" si="12"/>
        <v>女</v>
      </c>
      <c r="F266" s="7" t="str">
        <f>"1995-07-06"</f>
        <v>1995-07-06</v>
      </c>
      <c r="G266" s="6"/>
    </row>
    <row r="267" spans="1:7" ht="30" customHeight="1">
      <c r="A267" s="6">
        <v>265</v>
      </c>
      <c r="B267" s="7" t="str">
        <f>"264320201010215107351"</f>
        <v>264320201010215107351</v>
      </c>
      <c r="C267" s="7" t="s">
        <v>11</v>
      </c>
      <c r="D267" s="7" t="str">
        <f>"徐佳铭 "</f>
        <v>徐佳铭 </v>
      </c>
      <c r="E267" s="7" t="str">
        <f t="shared" si="12"/>
        <v>女</v>
      </c>
      <c r="F267" s="7" t="str">
        <f>"1997-02-12"</f>
        <v>1997-02-12</v>
      </c>
      <c r="G267" s="6"/>
    </row>
    <row r="268" spans="1:7" ht="30" customHeight="1">
      <c r="A268" s="6">
        <v>266</v>
      </c>
      <c r="B268" s="7" t="str">
        <f>"264320201012165033485"</f>
        <v>264320201012165033485</v>
      </c>
      <c r="C268" s="7" t="s">
        <v>11</v>
      </c>
      <c r="D268" s="7" t="str">
        <f>"刘思妍"</f>
        <v>刘思妍</v>
      </c>
      <c r="E268" s="7" t="str">
        <f t="shared" si="12"/>
        <v>女</v>
      </c>
      <c r="F268" s="7" t="str">
        <f>"1997-11-15"</f>
        <v>1997-11-15</v>
      </c>
      <c r="G268" s="6"/>
    </row>
    <row r="269" spans="1:7" ht="30" customHeight="1">
      <c r="A269" s="6">
        <v>267</v>
      </c>
      <c r="B269" s="7" t="str">
        <f>"264320201012230637509"</f>
        <v>264320201012230637509</v>
      </c>
      <c r="C269" s="7" t="s">
        <v>11</v>
      </c>
      <c r="D269" s="7" t="str">
        <f>"符传丹"</f>
        <v>符传丹</v>
      </c>
      <c r="E269" s="7" t="str">
        <f t="shared" si="12"/>
        <v>女</v>
      </c>
      <c r="F269" s="7" t="str">
        <f>"1997-10-28"</f>
        <v>1997-10-28</v>
      </c>
      <c r="G269" s="6"/>
    </row>
    <row r="270" spans="1:7" ht="30" customHeight="1">
      <c r="A270" s="6">
        <v>268</v>
      </c>
      <c r="B270" s="7" t="str">
        <f>"264320201013113853532"</f>
        <v>264320201013113853532</v>
      </c>
      <c r="C270" s="7" t="s">
        <v>11</v>
      </c>
      <c r="D270" s="7" t="str">
        <f>"祝明娟"</f>
        <v>祝明娟</v>
      </c>
      <c r="E270" s="7" t="str">
        <f t="shared" si="12"/>
        <v>女</v>
      </c>
      <c r="F270" s="7" t="str">
        <f>"1997-11-24"</f>
        <v>1997-11-24</v>
      </c>
      <c r="G270" s="6"/>
    </row>
    <row r="271" spans="1:7" ht="30" customHeight="1">
      <c r="A271" s="6">
        <v>269</v>
      </c>
      <c r="B271" s="7" t="str">
        <f>"264320201014084600581"</f>
        <v>264320201014084600581</v>
      </c>
      <c r="C271" s="7" t="s">
        <v>11</v>
      </c>
      <c r="D271" s="7" t="str">
        <f>"龙瑜"</f>
        <v>龙瑜</v>
      </c>
      <c r="E271" s="7" t="str">
        <f t="shared" si="12"/>
        <v>女</v>
      </c>
      <c r="F271" s="7" t="str">
        <f>"1998-06-16"</f>
        <v>1998-06-16</v>
      </c>
      <c r="G271" s="6"/>
    </row>
    <row r="272" spans="1:7" ht="30" customHeight="1">
      <c r="A272" s="6">
        <v>270</v>
      </c>
      <c r="B272" s="7" t="str">
        <f>"264320201018130711751"</f>
        <v>264320201018130711751</v>
      </c>
      <c r="C272" s="7" t="s">
        <v>11</v>
      </c>
      <c r="D272" s="7" t="str">
        <f>"林丽"</f>
        <v>林丽</v>
      </c>
      <c r="E272" s="7" t="str">
        <f t="shared" si="12"/>
        <v>女</v>
      </c>
      <c r="F272" s="7" t="str">
        <f>"1997-04-25"</f>
        <v>1997-04-25</v>
      </c>
      <c r="G272" s="6"/>
    </row>
    <row r="273" spans="1:7" ht="30" customHeight="1">
      <c r="A273" s="6">
        <v>271</v>
      </c>
      <c r="B273" s="7" t="str">
        <f>"264320201018191644763"</f>
        <v>264320201018191644763</v>
      </c>
      <c r="C273" s="7" t="s">
        <v>11</v>
      </c>
      <c r="D273" s="7" t="str">
        <f>"王馨"</f>
        <v>王馨</v>
      </c>
      <c r="E273" s="7" t="str">
        <f t="shared" si="12"/>
        <v>女</v>
      </c>
      <c r="F273" s="7" t="str">
        <f>"1997-10-15"</f>
        <v>1997-10-15</v>
      </c>
      <c r="G273" s="6"/>
    </row>
    <row r="274" spans="1:7" ht="30" customHeight="1">
      <c r="A274" s="6">
        <v>272</v>
      </c>
      <c r="B274" s="7" t="str">
        <f>"264320201018234226780"</f>
        <v>264320201018234226780</v>
      </c>
      <c r="C274" s="7" t="s">
        <v>11</v>
      </c>
      <c r="D274" s="7" t="str">
        <f>"董钰洁"</f>
        <v>董钰洁</v>
      </c>
      <c r="E274" s="7" t="str">
        <f t="shared" si="12"/>
        <v>女</v>
      </c>
      <c r="F274" s="7" t="str">
        <f>"1997-10-24"</f>
        <v>1997-10-24</v>
      </c>
      <c r="G274" s="6"/>
    </row>
    <row r="275" spans="1:7" ht="30" customHeight="1">
      <c r="A275" s="6">
        <v>273</v>
      </c>
      <c r="B275" s="7" t="str">
        <f>"264320201020072218893"</f>
        <v>264320201020072218893</v>
      </c>
      <c r="C275" s="7" t="s">
        <v>11</v>
      </c>
      <c r="D275" s="7" t="str">
        <f>"文蕾"</f>
        <v>文蕾</v>
      </c>
      <c r="E275" s="7" t="str">
        <f t="shared" si="12"/>
        <v>女</v>
      </c>
      <c r="F275" s="7" t="str">
        <f>"1998-12-20"</f>
        <v>1998-12-20</v>
      </c>
      <c r="G275" s="6"/>
    </row>
    <row r="276" spans="1:7" ht="30" customHeight="1">
      <c r="A276" s="6">
        <v>274</v>
      </c>
      <c r="B276" s="7" t="str">
        <f>"264320201020153541940"</f>
        <v>264320201020153541940</v>
      </c>
      <c r="C276" s="7" t="s">
        <v>11</v>
      </c>
      <c r="D276" s="7" t="str">
        <f>"杜燕"</f>
        <v>杜燕</v>
      </c>
      <c r="E276" s="7" t="str">
        <f t="shared" si="12"/>
        <v>女</v>
      </c>
      <c r="F276" s="7" t="str">
        <f>"1996-02-09"</f>
        <v>1996-02-09</v>
      </c>
      <c r="G276" s="6"/>
    </row>
    <row r="277" spans="1:7" ht="30" customHeight="1">
      <c r="A277" s="6">
        <v>275</v>
      </c>
      <c r="B277" s="7" t="str">
        <f>"26432020100909271217"</f>
        <v>26432020100909271217</v>
      </c>
      <c r="C277" s="7" t="s">
        <v>12</v>
      </c>
      <c r="D277" s="7" t="str">
        <f>"陈首乾"</f>
        <v>陈首乾</v>
      </c>
      <c r="E277" s="7" t="str">
        <f aca="true" t="shared" si="13" ref="E277:E282">"男"</f>
        <v>男</v>
      </c>
      <c r="F277" s="7" t="str">
        <f>"1999-01-31"</f>
        <v>1999-01-31</v>
      </c>
      <c r="G277" s="6"/>
    </row>
    <row r="278" spans="1:7" ht="30" customHeight="1">
      <c r="A278" s="6">
        <v>276</v>
      </c>
      <c r="B278" s="7" t="str">
        <f>"26432020100910565458"</f>
        <v>26432020100910565458</v>
      </c>
      <c r="C278" s="7" t="s">
        <v>12</v>
      </c>
      <c r="D278" s="7" t="str">
        <f>"随文厦"</f>
        <v>随文厦</v>
      </c>
      <c r="E278" s="7" t="str">
        <f t="shared" si="13"/>
        <v>男</v>
      </c>
      <c r="F278" s="7" t="str">
        <f>"1993-06-19"</f>
        <v>1993-06-19</v>
      </c>
      <c r="G278" s="6"/>
    </row>
    <row r="279" spans="1:7" ht="30" customHeight="1">
      <c r="A279" s="6">
        <v>277</v>
      </c>
      <c r="B279" s="7" t="str">
        <f>"26432020100911122270"</f>
        <v>26432020100911122270</v>
      </c>
      <c r="C279" s="7" t="s">
        <v>12</v>
      </c>
      <c r="D279" s="7" t="str">
        <f>"江青敏"</f>
        <v>江青敏</v>
      </c>
      <c r="E279" s="7" t="str">
        <f t="shared" si="13"/>
        <v>男</v>
      </c>
      <c r="F279" s="7" t="str">
        <f>"1997-05-04"</f>
        <v>1997-05-04</v>
      </c>
      <c r="G279" s="6"/>
    </row>
    <row r="280" spans="1:7" ht="30" customHeight="1">
      <c r="A280" s="6">
        <v>278</v>
      </c>
      <c r="B280" s="7" t="str">
        <f>"26432020100911230173"</f>
        <v>26432020100911230173</v>
      </c>
      <c r="C280" s="7" t="s">
        <v>12</v>
      </c>
      <c r="D280" s="7" t="str">
        <f>"许自强"</f>
        <v>许自强</v>
      </c>
      <c r="E280" s="7" t="str">
        <f t="shared" si="13"/>
        <v>男</v>
      </c>
      <c r="F280" s="7" t="str">
        <f>"1997.08.17"</f>
        <v>1997.08.17</v>
      </c>
      <c r="G280" s="6"/>
    </row>
    <row r="281" spans="1:7" ht="30" customHeight="1">
      <c r="A281" s="6">
        <v>279</v>
      </c>
      <c r="B281" s="7" t="str">
        <f>"26432020100911303874"</f>
        <v>26432020100911303874</v>
      </c>
      <c r="C281" s="7" t="s">
        <v>12</v>
      </c>
      <c r="D281" s="7" t="str">
        <f>"吴子翔"</f>
        <v>吴子翔</v>
      </c>
      <c r="E281" s="7" t="str">
        <f t="shared" si="13"/>
        <v>男</v>
      </c>
      <c r="F281" s="7" t="str">
        <f>"1994-05-15"</f>
        <v>1994-05-15</v>
      </c>
      <c r="G281" s="6"/>
    </row>
    <row r="282" spans="1:7" ht="30" customHeight="1">
      <c r="A282" s="6">
        <v>280</v>
      </c>
      <c r="B282" s="7" t="str">
        <f>"26432020100912105684"</f>
        <v>26432020100912105684</v>
      </c>
      <c r="C282" s="7" t="s">
        <v>12</v>
      </c>
      <c r="D282" s="7" t="str">
        <f>"王北和"</f>
        <v>王北和</v>
      </c>
      <c r="E282" s="7" t="str">
        <f t="shared" si="13"/>
        <v>男</v>
      </c>
      <c r="F282" s="7" t="str">
        <f>"1996-10-29"</f>
        <v>1996-10-29</v>
      </c>
      <c r="G282" s="6"/>
    </row>
    <row r="283" spans="1:7" ht="30" customHeight="1">
      <c r="A283" s="6">
        <v>281</v>
      </c>
      <c r="B283" s="7" t="str">
        <f>"26432020100912243091"</f>
        <v>26432020100912243091</v>
      </c>
      <c r="C283" s="7" t="s">
        <v>12</v>
      </c>
      <c r="D283" s="7" t="str">
        <f>"王佩茹"</f>
        <v>王佩茹</v>
      </c>
      <c r="E283" s="7" t="str">
        <f>"女"</f>
        <v>女</v>
      </c>
      <c r="F283" s="7" t="str">
        <f>"1996-07-27"</f>
        <v>1996-07-27</v>
      </c>
      <c r="G283" s="6"/>
    </row>
    <row r="284" spans="1:7" ht="30" customHeight="1">
      <c r="A284" s="6">
        <v>282</v>
      </c>
      <c r="B284" s="7" t="str">
        <f>"264320201009130408103"</f>
        <v>264320201009130408103</v>
      </c>
      <c r="C284" s="7" t="s">
        <v>12</v>
      </c>
      <c r="D284" s="7" t="str">
        <f>"陈国景"</f>
        <v>陈国景</v>
      </c>
      <c r="E284" s="7" t="str">
        <f aca="true" t="shared" si="14" ref="E284:E305">"男"</f>
        <v>男</v>
      </c>
      <c r="F284" s="7" t="str">
        <f>"1997-07-22"</f>
        <v>1997-07-22</v>
      </c>
      <c r="G284" s="6"/>
    </row>
    <row r="285" spans="1:7" ht="30" customHeight="1">
      <c r="A285" s="6">
        <v>283</v>
      </c>
      <c r="B285" s="7" t="str">
        <f>"264320201009154943134"</f>
        <v>264320201009154943134</v>
      </c>
      <c r="C285" s="7" t="s">
        <v>12</v>
      </c>
      <c r="D285" s="7" t="str">
        <f>"许信正"</f>
        <v>许信正</v>
      </c>
      <c r="E285" s="7" t="str">
        <f t="shared" si="14"/>
        <v>男</v>
      </c>
      <c r="F285" s="7" t="str">
        <f>"1997-09-07"</f>
        <v>1997-09-07</v>
      </c>
      <c r="G285" s="6"/>
    </row>
    <row r="286" spans="1:7" ht="30" customHeight="1">
      <c r="A286" s="6">
        <v>284</v>
      </c>
      <c r="B286" s="7" t="str">
        <f>"264320201009162616143"</f>
        <v>264320201009162616143</v>
      </c>
      <c r="C286" s="7" t="s">
        <v>12</v>
      </c>
      <c r="D286" s="7" t="str">
        <f>"王湛"</f>
        <v>王湛</v>
      </c>
      <c r="E286" s="7" t="str">
        <f t="shared" si="14"/>
        <v>男</v>
      </c>
      <c r="F286" s="7" t="str">
        <f>"1997-03-14"</f>
        <v>1997-03-14</v>
      </c>
      <c r="G286" s="6"/>
    </row>
    <row r="287" spans="1:7" ht="30" customHeight="1">
      <c r="A287" s="6">
        <v>285</v>
      </c>
      <c r="B287" s="7" t="str">
        <f>"264320201009171435159"</f>
        <v>264320201009171435159</v>
      </c>
      <c r="C287" s="7" t="s">
        <v>12</v>
      </c>
      <c r="D287" s="7" t="str">
        <f>"王春财"</f>
        <v>王春财</v>
      </c>
      <c r="E287" s="7" t="str">
        <f t="shared" si="14"/>
        <v>男</v>
      </c>
      <c r="F287" s="7" t="str">
        <f>"1999-03-03"</f>
        <v>1999-03-03</v>
      </c>
      <c r="G287" s="6"/>
    </row>
    <row r="288" spans="1:7" ht="30" customHeight="1">
      <c r="A288" s="6">
        <v>286</v>
      </c>
      <c r="B288" s="7" t="str">
        <f>"264320201009173708165"</f>
        <v>264320201009173708165</v>
      </c>
      <c r="C288" s="7" t="s">
        <v>12</v>
      </c>
      <c r="D288" s="7" t="str">
        <f>"郑利伟"</f>
        <v>郑利伟</v>
      </c>
      <c r="E288" s="7" t="str">
        <f t="shared" si="14"/>
        <v>男</v>
      </c>
      <c r="F288" s="7" t="str">
        <f>"1996-02-18"</f>
        <v>1996-02-18</v>
      </c>
      <c r="G288" s="6"/>
    </row>
    <row r="289" spans="1:7" ht="30" customHeight="1">
      <c r="A289" s="6">
        <v>287</v>
      </c>
      <c r="B289" s="7" t="str">
        <f>"264320201009200231204"</f>
        <v>264320201009200231204</v>
      </c>
      <c r="C289" s="7" t="s">
        <v>12</v>
      </c>
      <c r="D289" s="7" t="str">
        <f>"曾欣逸"</f>
        <v>曾欣逸</v>
      </c>
      <c r="E289" s="7" t="str">
        <f t="shared" si="14"/>
        <v>男</v>
      </c>
      <c r="F289" s="7" t="str">
        <f>"1998-07-12"</f>
        <v>1998-07-12</v>
      </c>
      <c r="G289" s="6"/>
    </row>
    <row r="290" spans="1:7" ht="30" customHeight="1">
      <c r="A290" s="6">
        <v>288</v>
      </c>
      <c r="B290" s="7" t="str">
        <f>"264320201009202715207"</f>
        <v>264320201009202715207</v>
      </c>
      <c r="C290" s="7" t="s">
        <v>12</v>
      </c>
      <c r="D290" s="7" t="str">
        <f>"黄健桐"</f>
        <v>黄健桐</v>
      </c>
      <c r="E290" s="7" t="str">
        <f t="shared" si="14"/>
        <v>男</v>
      </c>
      <c r="F290" s="7" t="str">
        <f>"1997-12-24"</f>
        <v>1997-12-24</v>
      </c>
      <c r="G290" s="6"/>
    </row>
    <row r="291" spans="1:7" ht="30" customHeight="1">
      <c r="A291" s="6">
        <v>289</v>
      </c>
      <c r="B291" s="7" t="str">
        <f>"264320201009215356219"</f>
        <v>264320201009215356219</v>
      </c>
      <c r="C291" s="7" t="s">
        <v>12</v>
      </c>
      <c r="D291" s="7" t="str">
        <f>"周选将"</f>
        <v>周选将</v>
      </c>
      <c r="E291" s="7" t="str">
        <f t="shared" si="14"/>
        <v>男</v>
      </c>
      <c r="F291" s="7" t="str">
        <f>"1997-09-08"</f>
        <v>1997-09-08</v>
      </c>
      <c r="G291" s="6"/>
    </row>
    <row r="292" spans="1:7" ht="30" customHeight="1">
      <c r="A292" s="6">
        <v>290</v>
      </c>
      <c r="B292" s="7" t="str">
        <f>"264320201009225448229"</f>
        <v>264320201009225448229</v>
      </c>
      <c r="C292" s="7" t="s">
        <v>12</v>
      </c>
      <c r="D292" s="7" t="str">
        <f>"黄祥劲"</f>
        <v>黄祥劲</v>
      </c>
      <c r="E292" s="7" t="str">
        <f t="shared" si="14"/>
        <v>男</v>
      </c>
      <c r="F292" s="7" t="str">
        <f>"1998-06-04"</f>
        <v>1998-06-04</v>
      </c>
      <c r="G292" s="6"/>
    </row>
    <row r="293" spans="1:7" ht="30" customHeight="1">
      <c r="A293" s="6">
        <v>291</v>
      </c>
      <c r="B293" s="7" t="str">
        <f>"264320201010175102330"</f>
        <v>264320201010175102330</v>
      </c>
      <c r="C293" s="7" t="s">
        <v>12</v>
      </c>
      <c r="D293" s="7" t="str">
        <f>"张裕明"</f>
        <v>张裕明</v>
      </c>
      <c r="E293" s="7" t="str">
        <f t="shared" si="14"/>
        <v>男</v>
      </c>
      <c r="F293" s="7" t="str">
        <f>"1997-11-15"</f>
        <v>1997-11-15</v>
      </c>
      <c r="G293" s="6"/>
    </row>
    <row r="294" spans="1:7" ht="30" customHeight="1">
      <c r="A294" s="6">
        <v>292</v>
      </c>
      <c r="B294" s="7" t="str">
        <f>"264320201010213742350"</f>
        <v>264320201010213742350</v>
      </c>
      <c r="C294" s="7" t="s">
        <v>12</v>
      </c>
      <c r="D294" s="7" t="str">
        <f>"黄香演"</f>
        <v>黄香演</v>
      </c>
      <c r="E294" s="7" t="str">
        <f t="shared" si="14"/>
        <v>男</v>
      </c>
      <c r="F294" s="7" t="str">
        <f>"1995-07-10"</f>
        <v>1995-07-10</v>
      </c>
      <c r="G294" s="6"/>
    </row>
    <row r="295" spans="1:7" ht="30" customHeight="1">
      <c r="A295" s="6">
        <v>293</v>
      </c>
      <c r="B295" s="7" t="str">
        <f>"264320201011145529384"</f>
        <v>264320201011145529384</v>
      </c>
      <c r="C295" s="7" t="s">
        <v>12</v>
      </c>
      <c r="D295" s="7" t="str">
        <f>"李金洲"</f>
        <v>李金洲</v>
      </c>
      <c r="E295" s="7" t="str">
        <f t="shared" si="14"/>
        <v>男</v>
      </c>
      <c r="F295" s="7" t="str">
        <f>"1997-05-15"</f>
        <v>1997-05-15</v>
      </c>
      <c r="G295" s="6"/>
    </row>
    <row r="296" spans="1:7" ht="30" customHeight="1">
      <c r="A296" s="6">
        <v>294</v>
      </c>
      <c r="B296" s="7" t="str">
        <f>"264320201011154634391"</f>
        <v>264320201011154634391</v>
      </c>
      <c r="C296" s="7" t="s">
        <v>12</v>
      </c>
      <c r="D296" s="7" t="str">
        <f>"黄振奋"</f>
        <v>黄振奋</v>
      </c>
      <c r="E296" s="7" t="str">
        <f t="shared" si="14"/>
        <v>男</v>
      </c>
      <c r="F296" s="7" t="str">
        <f>"1997-07-18"</f>
        <v>1997-07-18</v>
      </c>
      <c r="G296" s="6"/>
    </row>
    <row r="297" spans="1:7" ht="30" customHeight="1">
      <c r="A297" s="6">
        <v>295</v>
      </c>
      <c r="B297" s="7" t="str">
        <f>"264320201011203546405"</f>
        <v>264320201011203546405</v>
      </c>
      <c r="C297" s="7" t="s">
        <v>12</v>
      </c>
      <c r="D297" s="7" t="str">
        <f>"符森"</f>
        <v>符森</v>
      </c>
      <c r="E297" s="7" t="str">
        <f t="shared" si="14"/>
        <v>男</v>
      </c>
      <c r="F297" s="7" t="str">
        <f>"1998-07-24"</f>
        <v>1998-07-24</v>
      </c>
      <c r="G297" s="6"/>
    </row>
    <row r="298" spans="1:7" ht="30" customHeight="1">
      <c r="A298" s="6">
        <v>296</v>
      </c>
      <c r="B298" s="7" t="str">
        <f>"264320201011231242421"</f>
        <v>264320201011231242421</v>
      </c>
      <c r="C298" s="7" t="s">
        <v>12</v>
      </c>
      <c r="D298" s="7" t="str">
        <f>"符家泽"</f>
        <v>符家泽</v>
      </c>
      <c r="E298" s="7" t="str">
        <f t="shared" si="14"/>
        <v>男</v>
      </c>
      <c r="F298" s="7" t="str">
        <f>"1999-11-28"</f>
        <v>1999-11-28</v>
      </c>
      <c r="G298" s="6"/>
    </row>
    <row r="299" spans="1:7" ht="30" customHeight="1">
      <c r="A299" s="6">
        <v>297</v>
      </c>
      <c r="B299" s="7" t="str">
        <f>"264320201012115617459"</f>
        <v>264320201012115617459</v>
      </c>
      <c r="C299" s="7" t="s">
        <v>12</v>
      </c>
      <c r="D299" s="7" t="str">
        <f>"谢友康"</f>
        <v>谢友康</v>
      </c>
      <c r="E299" s="7" t="str">
        <f t="shared" si="14"/>
        <v>男</v>
      </c>
      <c r="F299" s="7" t="str">
        <f>"1996-03-17"</f>
        <v>1996-03-17</v>
      </c>
      <c r="G299" s="6"/>
    </row>
    <row r="300" spans="1:7" ht="30" customHeight="1">
      <c r="A300" s="6">
        <v>298</v>
      </c>
      <c r="B300" s="7" t="str">
        <f>"264320201012203300498"</f>
        <v>264320201012203300498</v>
      </c>
      <c r="C300" s="7" t="s">
        <v>12</v>
      </c>
      <c r="D300" s="7" t="str">
        <f>"王威"</f>
        <v>王威</v>
      </c>
      <c r="E300" s="7" t="str">
        <f t="shared" si="14"/>
        <v>男</v>
      </c>
      <c r="F300" s="7" t="str">
        <f>"1997-08-10"</f>
        <v>1997-08-10</v>
      </c>
      <c r="G300" s="6"/>
    </row>
    <row r="301" spans="1:7" ht="30" customHeight="1">
      <c r="A301" s="6">
        <v>299</v>
      </c>
      <c r="B301" s="7" t="str">
        <f>"264320201013142736540"</f>
        <v>264320201013142736540</v>
      </c>
      <c r="C301" s="7" t="s">
        <v>12</v>
      </c>
      <c r="D301" s="7" t="str">
        <f>"曾维和"</f>
        <v>曾维和</v>
      </c>
      <c r="E301" s="7" t="str">
        <f t="shared" si="14"/>
        <v>男</v>
      </c>
      <c r="F301" s="7" t="str">
        <f>"1997-09-12"</f>
        <v>1997-09-12</v>
      </c>
      <c r="G301" s="6"/>
    </row>
    <row r="302" spans="1:7" ht="30" customHeight="1">
      <c r="A302" s="6">
        <v>300</v>
      </c>
      <c r="B302" s="7" t="str">
        <f>"264320201013145654541"</f>
        <v>264320201013145654541</v>
      </c>
      <c r="C302" s="7" t="s">
        <v>12</v>
      </c>
      <c r="D302" s="7" t="str">
        <f>"韦家恺"</f>
        <v>韦家恺</v>
      </c>
      <c r="E302" s="7" t="str">
        <f t="shared" si="14"/>
        <v>男</v>
      </c>
      <c r="F302" s="7" t="str">
        <f>"1995-06-01"</f>
        <v>1995-06-01</v>
      </c>
      <c r="G302" s="6"/>
    </row>
    <row r="303" spans="1:7" ht="30" customHeight="1">
      <c r="A303" s="6">
        <v>301</v>
      </c>
      <c r="B303" s="7" t="str">
        <f>"264320201014121616595"</f>
        <v>264320201014121616595</v>
      </c>
      <c r="C303" s="7" t="s">
        <v>12</v>
      </c>
      <c r="D303" s="7" t="str">
        <f>"李万登"</f>
        <v>李万登</v>
      </c>
      <c r="E303" s="7" t="str">
        <f t="shared" si="14"/>
        <v>男</v>
      </c>
      <c r="F303" s="7" t="str">
        <f>"1998-09-30"</f>
        <v>1998-09-30</v>
      </c>
      <c r="G303" s="6"/>
    </row>
    <row r="304" spans="1:7" ht="30" customHeight="1">
      <c r="A304" s="6">
        <v>302</v>
      </c>
      <c r="B304" s="7" t="str">
        <f>"264320201014140145604"</f>
        <v>264320201014140145604</v>
      </c>
      <c r="C304" s="7" t="s">
        <v>12</v>
      </c>
      <c r="D304" s="7" t="str">
        <f>"周中瑞"</f>
        <v>周中瑞</v>
      </c>
      <c r="E304" s="7" t="str">
        <f t="shared" si="14"/>
        <v>男</v>
      </c>
      <c r="F304" s="7" t="str">
        <f>"1997-02-09"</f>
        <v>1997-02-09</v>
      </c>
      <c r="G304" s="6"/>
    </row>
    <row r="305" spans="1:7" ht="30" customHeight="1">
      <c r="A305" s="6">
        <v>303</v>
      </c>
      <c r="B305" s="7" t="str">
        <f>"264320201014161128611"</f>
        <v>264320201014161128611</v>
      </c>
      <c r="C305" s="7" t="s">
        <v>12</v>
      </c>
      <c r="D305" s="7" t="str">
        <f>"周德晟"</f>
        <v>周德晟</v>
      </c>
      <c r="E305" s="7" t="str">
        <f t="shared" si="14"/>
        <v>男</v>
      </c>
      <c r="F305" s="7" t="str">
        <f>"1997-02-03"</f>
        <v>1997-02-03</v>
      </c>
      <c r="G305" s="6"/>
    </row>
    <row r="306" spans="1:7" ht="30" customHeight="1">
      <c r="A306" s="6">
        <v>304</v>
      </c>
      <c r="B306" s="7" t="str">
        <f>"264320201014213034634"</f>
        <v>264320201014213034634</v>
      </c>
      <c r="C306" s="7" t="s">
        <v>12</v>
      </c>
      <c r="D306" s="7" t="str">
        <f>"黄雯佳"</f>
        <v>黄雯佳</v>
      </c>
      <c r="E306" s="7" t="str">
        <f>"女"</f>
        <v>女</v>
      </c>
      <c r="F306" s="7" t="str">
        <f>"1998-03-11"</f>
        <v>1998-03-11</v>
      </c>
      <c r="G306" s="6"/>
    </row>
    <row r="307" spans="1:7" ht="30" customHeight="1">
      <c r="A307" s="6">
        <v>305</v>
      </c>
      <c r="B307" s="7" t="str">
        <f>"264320201014221519637"</f>
        <v>264320201014221519637</v>
      </c>
      <c r="C307" s="7" t="s">
        <v>12</v>
      </c>
      <c r="D307" s="7" t="str">
        <f>"陈盛"</f>
        <v>陈盛</v>
      </c>
      <c r="E307" s="7" t="str">
        <f aca="true" t="shared" si="15" ref="E307:E312">"男"</f>
        <v>男</v>
      </c>
      <c r="F307" s="7" t="str">
        <f>"1997-09-06"</f>
        <v>1997-09-06</v>
      </c>
      <c r="G307" s="6"/>
    </row>
    <row r="308" spans="1:7" ht="30" customHeight="1">
      <c r="A308" s="6">
        <v>306</v>
      </c>
      <c r="B308" s="7" t="str">
        <f>"264320201015151019665"</f>
        <v>264320201015151019665</v>
      </c>
      <c r="C308" s="7" t="s">
        <v>12</v>
      </c>
      <c r="D308" s="7" t="str">
        <f>"杨海青"</f>
        <v>杨海青</v>
      </c>
      <c r="E308" s="7" t="str">
        <f t="shared" si="15"/>
        <v>男</v>
      </c>
      <c r="F308" s="7" t="str">
        <f>"1997-10-04"</f>
        <v>1997-10-04</v>
      </c>
      <c r="G308" s="6"/>
    </row>
    <row r="309" spans="1:7" ht="30" customHeight="1">
      <c r="A309" s="6">
        <v>307</v>
      </c>
      <c r="B309" s="7" t="str">
        <f>"264320201018103014746"</f>
        <v>264320201018103014746</v>
      </c>
      <c r="C309" s="7" t="s">
        <v>12</v>
      </c>
      <c r="D309" s="7" t="str">
        <f>"林鑫"</f>
        <v>林鑫</v>
      </c>
      <c r="E309" s="7" t="str">
        <f t="shared" si="15"/>
        <v>男</v>
      </c>
      <c r="F309" s="7" t="str">
        <f>"1998-01-21"</f>
        <v>1998-01-21</v>
      </c>
      <c r="G309" s="6"/>
    </row>
    <row r="310" spans="1:7" ht="30" customHeight="1">
      <c r="A310" s="6">
        <v>308</v>
      </c>
      <c r="B310" s="7" t="str">
        <f>"264320201018204606770"</f>
        <v>264320201018204606770</v>
      </c>
      <c r="C310" s="7" t="s">
        <v>12</v>
      </c>
      <c r="D310" s="7" t="str">
        <f>"梅向南"</f>
        <v>梅向南</v>
      </c>
      <c r="E310" s="7" t="str">
        <f t="shared" si="15"/>
        <v>男</v>
      </c>
      <c r="F310" s="7" t="str">
        <f>"1998-11-17"</f>
        <v>1998-11-17</v>
      </c>
      <c r="G310" s="6"/>
    </row>
    <row r="311" spans="1:7" ht="30" customHeight="1">
      <c r="A311" s="6">
        <v>309</v>
      </c>
      <c r="B311" s="7" t="str">
        <f>"264320201018212613772"</f>
        <v>264320201018212613772</v>
      </c>
      <c r="C311" s="7" t="s">
        <v>12</v>
      </c>
      <c r="D311" s="7" t="str">
        <f>"蒲弘正"</f>
        <v>蒲弘正</v>
      </c>
      <c r="E311" s="7" t="str">
        <f t="shared" si="15"/>
        <v>男</v>
      </c>
      <c r="F311" s="7" t="str">
        <f>"1996-01-06"</f>
        <v>1996-01-06</v>
      </c>
      <c r="G311" s="6"/>
    </row>
    <row r="312" spans="1:7" ht="30" customHeight="1">
      <c r="A312" s="6">
        <v>310</v>
      </c>
      <c r="B312" s="7" t="str">
        <f>"264320201019112351805"</f>
        <v>264320201019112351805</v>
      </c>
      <c r="C312" s="7" t="s">
        <v>12</v>
      </c>
      <c r="D312" s="7" t="str">
        <f>"詹丰铭"</f>
        <v>詹丰铭</v>
      </c>
      <c r="E312" s="7" t="str">
        <f t="shared" si="15"/>
        <v>男</v>
      </c>
      <c r="F312" s="7" t="str">
        <f>"1997-08-09"</f>
        <v>1997-08-09</v>
      </c>
      <c r="G312" s="6"/>
    </row>
    <row r="313" spans="1:7" ht="30" customHeight="1">
      <c r="A313" s="6">
        <v>311</v>
      </c>
      <c r="B313" s="7" t="str">
        <f>"264320201019132007822"</f>
        <v>264320201019132007822</v>
      </c>
      <c r="C313" s="7" t="s">
        <v>12</v>
      </c>
      <c r="D313" s="7" t="str">
        <f>"邓义雪"</f>
        <v>邓义雪</v>
      </c>
      <c r="E313" s="7" t="str">
        <f>"女"</f>
        <v>女</v>
      </c>
      <c r="F313" s="7" t="str">
        <f>"1996-04-10"</f>
        <v>1996-04-10</v>
      </c>
      <c r="G313" s="6"/>
    </row>
    <row r="314" spans="1:7" ht="30" customHeight="1">
      <c r="A314" s="6">
        <v>312</v>
      </c>
      <c r="B314" s="7" t="str">
        <f>"264320201020100017901"</f>
        <v>264320201020100017901</v>
      </c>
      <c r="C314" s="7" t="s">
        <v>12</v>
      </c>
      <c r="D314" s="7" t="str">
        <f>"周嘉珍"</f>
        <v>周嘉珍</v>
      </c>
      <c r="E314" s="7" t="str">
        <f>"女"</f>
        <v>女</v>
      </c>
      <c r="F314" s="7" t="str">
        <f>"1996-05-21"</f>
        <v>1996-05-21</v>
      </c>
      <c r="G314" s="6"/>
    </row>
    <row r="315" spans="1:7" ht="30" customHeight="1">
      <c r="A315" s="6">
        <v>313</v>
      </c>
      <c r="B315" s="7" t="str">
        <f>"264320201020151221939"</f>
        <v>264320201020151221939</v>
      </c>
      <c r="C315" s="7" t="s">
        <v>12</v>
      </c>
      <c r="D315" s="7" t="str">
        <f>"何宇平"</f>
        <v>何宇平</v>
      </c>
      <c r="E315" s="7" t="str">
        <f>"女"</f>
        <v>女</v>
      </c>
      <c r="F315" s="7" t="str">
        <f>"1997-09-30"</f>
        <v>1997-09-30</v>
      </c>
      <c r="G315" s="6"/>
    </row>
    <row r="316" spans="1:7" ht="30" customHeight="1">
      <c r="A316" s="6">
        <v>314</v>
      </c>
      <c r="B316" s="7" t="str">
        <f>"26432020100910193541"</f>
        <v>26432020100910193541</v>
      </c>
      <c r="C316" s="7" t="s">
        <v>13</v>
      </c>
      <c r="D316" s="7" t="str">
        <f>"邱佳玲"</f>
        <v>邱佳玲</v>
      </c>
      <c r="E316" s="7" t="str">
        <f>"女"</f>
        <v>女</v>
      </c>
      <c r="F316" s="7" t="str">
        <f>"1998-03-07"</f>
        <v>1998-03-07</v>
      </c>
      <c r="G316" s="6"/>
    </row>
    <row r="317" spans="1:7" ht="30" customHeight="1">
      <c r="A317" s="6">
        <v>315</v>
      </c>
      <c r="B317" s="7" t="str">
        <f>"26432020100911082267"</f>
        <v>26432020100911082267</v>
      </c>
      <c r="C317" s="7" t="s">
        <v>13</v>
      </c>
      <c r="D317" s="7" t="str">
        <f>"罗宇涵"</f>
        <v>罗宇涵</v>
      </c>
      <c r="E317" s="7" t="str">
        <f>"女"</f>
        <v>女</v>
      </c>
      <c r="F317" s="7" t="str">
        <f>"1999-02-19"</f>
        <v>1999-02-19</v>
      </c>
      <c r="G317" s="6"/>
    </row>
    <row r="318" spans="1:7" ht="30" customHeight="1">
      <c r="A318" s="6">
        <v>316</v>
      </c>
      <c r="B318" s="7" t="str">
        <f>"26432020100911223372"</f>
        <v>26432020100911223372</v>
      </c>
      <c r="C318" s="7" t="s">
        <v>13</v>
      </c>
      <c r="D318" s="7" t="str">
        <f>"吴永庆"</f>
        <v>吴永庆</v>
      </c>
      <c r="E318" s="7" t="str">
        <f>"男"</f>
        <v>男</v>
      </c>
      <c r="F318" s="7" t="str">
        <f>"1998-11-12"</f>
        <v>1998-11-12</v>
      </c>
      <c r="G318" s="6"/>
    </row>
    <row r="319" spans="1:7" ht="30" customHeight="1">
      <c r="A319" s="6">
        <v>317</v>
      </c>
      <c r="B319" s="7" t="str">
        <f>"264320201009131347105"</f>
        <v>264320201009131347105</v>
      </c>
      <c r="C319" s="7" t="s">
        <v>13</v>
      </c>
      <c r="D319" s="7" t="str">
        <f>"陈积佳"</f>
        <v>陈积佳</v>
      </c>
      <c r="E319" s="7" t="str">
        <f>"女"</f>
        <v>女</v>
      </c>
      <c r="F319" s="7" t="str">
        <f>"1997-02-18"</f>
        <v>1997-02-18</v>
      </c>
      <c r="G319" s="6"/>
    </row>
    <row r="320" spans="1:7" ht="30" customHeight="1">
      <c r="A320" s="6">
        <v>318</v>
      </c>
      <c r="B320" s="7" t="str">
        <f>"264320201009161716140"</f>
        <v>264320201009161716140</v>
      </c>
      <c r="C320" s="7" t="s">
        <v>13</v>
      </c>
      <c r="D320" s="7" t="str">
        <f>"陈风梅"</f>
        <v>陈风梅</v>
      </c>
      <c r="E320" s="7" t="str">
        <f>"女"</f>
        <v>女</v>
      </c>
      <c r="F320" s="7" t="str">
        <f>"1998-02-02"</f>
        <v>1998-02-02</v>
      </c>
      <c r="G320" s="6"/>
    </row>
    <row r="321" spans="1:7" ht="30" customHeight="1">
      <c r="A321" s="6">
        <v>319</v>
      </c>
      <c r="B321" s="7" t="str">
        <f>"264320201009162334142"</f>
        <v>264320201009162334142</v>
      </c>
      <c r="C321" s="7" t="s">
        <v>13</v>
      </c>
      <c r="D321" s="7" t="str">
        <f>"吴建青"</f>
        <v>吴建青</v>
      </c>
      <c r="E321" s="7" t="str">
        <f>"男"</f>
        <v>男</v>
      </c>
      <c r="F321" s="7" t="str">
        <f>"1997-02-08"</f>
        <v>1997-02-08</v>
      </c>
      <c r="G321" s="6"/>
    </row>
    <row r="322" spans="1:7" ht="30" customHeight="1">
      <c r="A322" s="6">
        <v>320</v>
      </c>
      <c r="B322" s="7" t="str">
        <f>"264320201009203706208"</f>
        <v>264320201009203706208</v>
      </c>
      <c r="C322" s="7" t="s">
        <v>13</v>
      </c>
      <c r="D322" s="7" t="str">
        <f>"邢增策"</f>
        <v>邢增策</v>
      </c>
      <c r="E322" s="7" t="str">
        <f>"男"</f>
        <v>男</v>
      </c>
      <c r="F322" s="7" t="str">
        <f>"1998-01-08"</f>
        <v>1998-01-08</v>
      </c>
      <c r="G322" s="6"/>
    </row>
    <row r="323" spans="1:7" ht="30" customHeight="1">
      <c r="A323" s="6">
        <v>321</v>
      </c>
      <c r="B323" s="7" t="str">
        <f>"264320201010090706252"</f>
        <v>264320201010090706252</v>
      </c>
      <c r="C323" s="7" t="s">
        <v>13</v>
      </c>
      <c r="D323" s="7" t="str">
        <f>"符艳菲"</f>
        <v>符艳菲</v>
      </c>
      <c r="E323" s="7" t="str">
        <f>"女"</f>
        <v>女</v>
      </c>
      <c r="F323" s="7" t="str">
        <f>"1997-05-04"</f>
        <v>1997-05-04</v>
      </c>
      <c r="G323" s="6"/>
    </row>
    <row r="324" spans="1:7" ht="30" customHeight="1">
      <c r="A324" s="6">
        <v>322</v>
      </c>
      <c r="B324" s="7" t="str">
        <f>"264320201010113250279"</f>
        <v>264320201010113250279</v>
      </c>
      <c r="C324" s="7" t="s">
        <v>13</v>
      </c>
      <c r="D324" s="7" t="str">
        <f>"陈玲"</f>
        <v>陈玲</v>
      </c>
      <c r="E324" s="7" t="str">
        <f>"女"</f>
        <v>女</v>
      </c>
      <c r="F324" s="7" t="str">
        <f>"1994-12-16"</f>
        <v>1994-12-16</v>
      </c>
      <c r="G324" s="6"/>
    </row>
    <row r="325" spans="1:7" ht="30" customHeight="1">
      <c r="A325" s="6">
        <v>323</v>
      </c>
      <c r="B325" s="7" t="str">
        <f>"264320201010171550323"</f>
        <v>264320201010171550323</v>
      </c>
      <c r="C325" s="7" t="s">
        <v>13</v>
      </c>
      <c r="D325" s="7" t="str">
        <f>"赵耿"</f>
        <v>赵耿</v>
      </c>
      <c r="E325" s="7" t="str">
        <f>"男"</f>
        <v>男</v>
      </c>
      <c r="F325" s="7" t="str">
        <f>"1996-07-10"</f>
        <v>1996-07-10</v>
      </c>
      <c r="G325" s="6"/>
    </row>
    <row r="326" spans="1:7" ht="30" customHeight="1">
      <c r="A326" s="6">
        <v>324</v>
      </c>
      <c r="B326" s="7" t="str">
        <f>"264320201010195009340"</f>
        <v>264320201010195009340</v>
      </c>
      <c r="C326" s="7" t="s">
        <v>13</v>
      </c>
      <c r="D326" s="7" t="str">
        <f>"刘二粽"</f>
        <v>刘二粽</v>
      </c>
      <c r="E326" s="7" t="str">
        <f>"男"</f>
        <v>男</v>
      </c>
      <c r="F326" s="7" t="str">
        <f>"1996-07-25"</f>
        <v>1996-07-25</v>
      </c>
      <c r="G326" s="6"/>
    </row>
    <row r="327" spans="1:7" ht="30" customHeight="1">
      <c r="A327" s="6">
        <v>325</v>
      </c>
      <c r="B327" s="7" t="str">
        <f>"264320201010212821349"</f>
        <v>264320201010212821349</v>
      </c>
      <c r="C327" s="7" t="s">
        <v>13</v>
      </c>
      <c r="D327" s="7" t="str">
        <f>"文嘉烨"</f>
        <v>文嘉烨</v>
      </c>
      <c r="E327" s="7" t="str">
        <f>"女"</f>
        <v>女</v>
      </c>
      <c r="F327" s="7" t="str">
        <f>"1998-12-27"</f>
        <v>1998-12-27</v>
      </c>
      <c r="G327" s="6"/>
    </row>
    <row r="328" spans="1:7" ht="30" customHeight="1">
      <c r="A328" s="6">
        <v>326</v>
      </c>
      <c r="B328" s="7" t="str">
        <f>"264320201011163215395"</f>
        <v>264320201011163215395</v>
      </c>
      <c r="C328" s="7" t="s">
        <v>13</v>
      </c>
      <c r="D328" s="7" t="str">
        <f>"徐月圆"</f>
        <v>徐月圆</v>
      </c>
      <c r="E328" s="7" t="str">
        <f>"女"</f>
        <v>女</v>
      </c>
      <c r="F328" s="7" t="str">
        <f>"1997-11-22"</f>
        <v>1997-11-22</v>
      </c>
      <c r="G328" s="6"/>
    </row>
    <row r="329" spans="1:7" ht="30" customHeight="1">
      <c r="A329" s="6">
        <v>327</v>
      </c>
      <c r="B329" s="7" t="str">
        <f>"264320201011212650412"</f>
        <v>264320201011212650412</v>
      </c>
      <c r="C329" s="7" t="s">
        <v>13</v>
      </c>
      <c r="D329" s="7" t="str">
        <f>"王振宇"</f>
        <v>王振宇</v>
      </c>
      <c r="E329" s="7" t="str">
        <f>"男"</f>
        <v>男</v>
      </c>
      <c r="F329" s="7" t="str">
        <f>"1996-08-12"</f>
        <v>1996-08-12</v>
      </c>
      <c r="G329" s="6"/>
    </row>
    <row r="330" spans="1:7" ht="30" customHeight="1">
      <c r="A330" s="6">
        <v>328</v>
      </c>
      <c r="B330" s="7" t="str">
        <f>"264320201013005546514"</f>
        <v>264320201013005546514</v>
      </c>
      <c r="C330" s="7" t="s">
        <v>13</v>
      </c>
      <c r="D330" s="7" t="str">
        <f>"韩健"</f>
        <v>韩健</v>
      </c>
      <c r="E330" s="7" t="str">
        <f>"男"</f>
        <v>男</v>
      </c>
      <c r="F330" s="7" t="str">
        <f>"1997-04-18"</f>
        <v>1997-04-18</v>
      </c>
      <c r="G330" s="6"/>
    </row>
    <row r="331" spans="1:7" ht="30" customHeight="1">
      <c r="A331" s="6">
        <v>329</v>
      </c>
      <c r="B331" s="7" t="str">
        <f>"264320201013105713528"</f>
        <v>264320201013105713528</v>
      </c>
      <c r="C331" s="7" t="s">
        <v>13</v>
      </c>
      <c r="D331" s="7" t="str">
        <f>"孙伟峰"</f>
        <v>孙伟峰</v>
      </c>
      <c r="E331" s="7" t="str">
        <f>"男"</f>
        <v>男</v>
      </c>
      <c r="F331" s="7" t="str">
        <f>"1998-08-20"</f>
        <v>1998-08-20</v>
      </c>
      <c r="G331" s="6"/>
    </row>
    <row r="332" spans="1:7" ht="30" customHeight="1">
      <c r="A332" s="6">
        <v>330</v>
      </c>
      <c r="B332" s="7" t="str">
        <f>"264320201013153309546"</f>
        <v>264320201013153309546</v>
      </c>
      <c r="C332" s="7" t="s">
        <v>13</v>
      </c>
      <c r="D332" s="7" t="str">
        <f>"杨勇明"</f>
        <v>杨勇明</v>
      </c>
      <c r="E332" s="7" t="str">
        <f>"男"</f>
        <v>男</v>
      </c>
      <c r="F332" s="7" t="str">
        <f>"1999-07-04"</f>
        <v>1999-07-04</v>
      </c>
      <c r="G332" s="6"/>
    </row>
    <row r="333" spans="1:7" ht="30" customHeight="1">
      <c r="A333" s="6">
        <v>331</v>
      </c>
      <c r="B333" s="7" t="str">
        <f>"264320201013160405551"</f>
        <v>264320201013160405551</v>
      </c>
      <c r="C333" s="7" t="s">
        <v>13</v>
      </c>
      <c r="D333" s="7" t="str">
        <f>"黄晓慧"</f>
        <v>黄晓慧</v>
      </c>
      <c r="E333" s="7" t="str">
        <f>"女"</f>
        <v>女</v>
      </c>
      <c r="F333" s="7" t="str">
        <f>"1998-07-03"</f>
        <v>1998-07-03</v>
      </c>
      <c r="G333" s="6"/>
    </row>
    <row r="334" spans="1:7" ht="30" customHeight="1">
      <c r="A334" s="6">
        <v>332</v>
      </c>
      <c r="B334" s="7" t="str">
        <f>"264320201013172645557"</f>
        <v>264320201013172645557</v>
      </c>
      <c r="C334" s="7" t="s">
        <v>13</v>
      </c>
      <c r="D334" s="7" t="str">
        <f>"林佳"</f>
        <v>林佳</v>
      </c>
      <c r="E334" s="7" t="str">
        <f>"女"</f>
        <v>女</v>
      </c>
      <c r="F334" s="7" t="str">
        <f>"1998-04-12"</f>
        <v>1998-04-12</v>
      </c>
      <c r="G334" s="6"/>
    </row>
    <row r="335" spans="1:7" ht="30" customHeight="1">
      <c r="A335" s="6">
        <v>333</v>
      </c>
      <c r="B335" s="7" t="str">
        <f>"264320201013220702571"</f>
        <v>264320201013220702571</v>
      </c>
      <c r="C335" s="7" t="s">
        <v>13</v>
      </c>
      <c r="D335" s="7" t="str">
        <f>"张琰"</f>
        <v>张琰</v>
      </c>
      <c r="E335" s="7" t="str">
        <f>"女"</f>
        <v>女</v>
      </c>
      <c r="F335" s="7" t="str">
        <f>"1998-09-13"</f>
        <v>1998-09-13</v>
      </c>
      <c r="G335" s="6"/>
    </row>
    <row r="336" spans="1:7" ht="30" customHeight="1">
      <c r="A336" s="6">
        <v>334</v>
      </c>
      <c r="B336" s="7" t="str">
        <f>"264320201015164856671"</f>
        <v>264320201015164856671</v>
      </c>
      <c r="C336" s="7" t="s">
        <v>13</v>
      </c>
      <c r="D336" s="7" t="str">
        <f>"赵寒"</f>
        <v>赵寒</v>
      </c>
      <c r="E336" s="7" t="str">
        <f>"女"</f>
        <v>女</v>
      </c>
      <c r="F336" s="7" t="str">
        <f>"1996年12月"</f>
        <v>1996年12月</v>
      </c>
      <c r="G336" s="6"/>
    </row>
    <row r="337" spans="1:7" ht="30" customHeight="1">
      <c r="A337" s="6">
        <v>335</v>
      </c>
      <c r="B337" s="7" t="str">
        <f>"264320201015202748683"</f>
        <v>264320201015202748683</v>
      </c>
      <c r="C337" s="7" t="s">
        <v>13</v>
      </c>
      <c r="D337" s="7" t="str">
        <f>"胡又天"</f>
        <v>胡又天</v>
      </c>
      <c r="E337" s="7" t="str">
        <f>"男"</f>
        <v>男</v>
      </c>
      <c r="F337" s="7" t="str">
        <f>"1997-12-16"</f>
        <v>1997-12-16</v>
      </c>
      <c r="G337" s="6"/>
    </row>
    <row r="338" spans="1:7" ht="30" customHeight="1">
      <c r="A338" s="6">
        <v>336</v>
      </c>
      <c r="B338" s="7" t="str">
        <f>"264320201019100218796"</f>
        <v>264320201019100218796</v>
      </c>
      <c r="C338" s="7" t="s">
        <v>13</v>
      </c>
      <c r="D338" s="7" t="str">
        <f>"黄显惠"</f>
        <v>黄显惠</v>
      </c>
      <c r="E338" s="7" t="str">
        <f>"女"</f>
        <v>女</v>
      </c>
      <c r="F338" s="7" t="str">
        <f>"1998-12-06"</f>
        <v>1998-12-06</v>
      </c>
      <c r="G338" s="6"/>
    </row>
    <row r="339" spans="1:7" ht="30" customHeight="1">
      <c r="A339" s="6">
        <v>337</v>
      </c>
      <c r="B339" s="7" t="str">
        <f>"264320201019125504816"</f>
        <v>264320201019125504816</v>
      </c>
      <c r="C339" s="7" t="s">
        <v>13</v>
      </c>
      <c r="D339" s="7" t="str">
        <f>"唐江艳"</f>
        <v>唐江艳</v>
      </c>
      <c r="E339" s="7" t="str">
        <f>"女"</f>
        <v>女</v>
      </c>
      <c r="F339" s="7" t="str">
        <f>"1998-04-16"</f>
        <v>1998-04-16</v>
      </c>
      <c r="G339" s="6"/>
    </row>
    <row r="340" spans="1:7" ht="30" customHeight="1">
      <c r="A340" s="6">
        <v>338</v>
      </c>
      <c r="B340" s="7" t="str">
        <f>"264320201019214312878"</f>
        <v>264320201019214312878</v>
      </c>
      <c r="C340" s="7" t="s">
        <v>13</v>
      </c>
      <c r="D340" s="7" t="str">
        <f>"邢苗苗"</f>
        <v>邢苗苗</v>
      </c>
      <c r="E340" s="7" t="str">
        <f>"女"</f>
        <v>女</v>
      </c>
      <c r="F340" s="7" t="str">
        <f>"1997-08-26"</f>
        <v>1997-08-26</v>
      </c>
      <c r="G340" s="6"/>
    </row>
    <row r="341" spans="1:7" ht="30" customHeight="1">
      <c r="A341" s="6">
        <v>339</v>
      </c>
      <c r="B341" s="7" t="str">
        <f>"264320201019234621885"</f>
        <v>264320201019234621885</v>
      </c>
      <c r="C341" s="7" t="s">
        <v>13</v>
      </c>
      <c r="D341" s="7" t="str">
        <f>"王康伟"</f>
        <v>王康伟</v>
      </c>
      <c r="E341" s="7" t="str">
        <f>"男"</f>
        <v>男</v>
      </c>
      <c r="F341" s="7" t="str">
        <f>"1998-04-23"</f>
        <v>1998-04-23</v>
      </c>
      <c r="G341" s="6"/>
    </row>
    <row r="342" spans="1:7" ht="30" customHeight="1">
      <c r="A342" s="6">
        <v>340</v>
      </c>
      <c r="B342" s="7" t="str">
        <f>"264320201020055343892"</f>
        <v>264320201020055343892</v>
      </c>
      <c r="C342" s="7" t="s">
        <v>13</v>
      </c>
      <c r="D342" s="7" t="str">
        <f>"王怡萱"</f>
        <v>王怡萱</v>
      </c>
      <c r="E342" s="7" t="str">
        <f>"女"</f>
        <v>女</v>
      </c>
      <c r="F342" s="7" t="str">
        <f>"1998-08-14"</f>
        <v>1998-08-14</v>
      </c>
      <c r="G342" s="6"/>
    </row>
    <row r="343" spans="1:7" ht="30" customHeight="1">
      <c r="A343" s="6">
        <v>341</v>
      </c>
      <c r="B343" s="7" t="str">
        <f>"264320201020101827902"</f>
        <v>264320201020101827902</v>
      </c>
      <c r="C343" s="7" t="s">
        <v>13</v>
      </c>
      <c r="D343" s="7" t="str">
        <f>"张镇洲"</f>
        <v>张镇洲</v>
      </c>
      <c r="E343" s="7" t="str">
        <f>"男"</f>
        <v>男</v>
      </c>
      <c r="F343" s="7" t="str">
        <f>"1996-05-20"</f>
        <v>1996-05-20</v>
      </c>
      <c r="G343" s="6"/>
    </row>
    <row r="344" spans="1:7" ht="30" customHeight="1">
      <c r="A344" s="6">
        <v>342</v>
      </c>
      <c r="B344" s="7" t="str">
        <f>"264320201020121746920"</f>
        <v>264320201020121746920</v>
      </c>
      <c r="C344" s="7" t="s">
        <v>13</v>
      </c>
      <c r="D344" s="7" t="str">
        <f>"陈明发"</f>
        <v>陈明发</v>
      </c>
      <c r="E344" s="7" t="str">
        <f>"男"</f>
        <v>男</v>
      </c>
      <c r="F344" s="7" t="str">
        <f>"1996-09-28"</f>
        <v>1996-09-28</v>
      </c>
      <c r="G344" s="6"/>
    </row>
    <row r="345" spans="1:7" ht="30" customHeight="1">
      <c r="A345" s="6">
        <v>343</v>
      </c>
      <c r="B345" s="7" t="str">
        <f>"264320201020155141943"</f>
        <v>264320201020155141943</v>
      </c>
      <c r="C345" s="7" t="s">
        <v>13</v>
      </c>
      <c r="D345" s="7" t="str">
        <f>"刘廷钟"</f>
        <v>刘廷钟</v>
      </c>
      <c r="E345" s="7" t="str">
        <f>"男"</f>
        <v>男</v>
      </c>
      <c r="F345" s="7" t="str">
        <f>"1997-02-17"</f>
        <v>1997-02-17</v>
      </c>
      <c r="G345" s="6"/>
    </row>
    <row r="346" spans="1:7" ht="30" customHeight="1">
      <c r="A346" s="6">
        <v>344</v>
      </c>
      <c r="B346" s="7" t="str">
        <f>"2643202010090901423"</f>
        <v>2643202010090901423</v>
      </c>
      <c r="C346" s="7" t="s">
        <v>14</v>
      </c>
      <c r="D346" s="7" t="str">
        <f>"陈保桦"</f>
        <v>陈保桦</v>
      </c>
      <c r="E346" s="7" t="str">
        <f>"男"</f>
        <v>男</v>
      </c>
      <c r="F346" s="7" t="str">
        <f>"1997-11-18"</f>
        <v>1997-11-18</v>
      </c>
      <c r="G346" s="6"/>
    </row>
    <row r="347" spans="1:7" ht="30" customHeight="1">
      <c r="A347" s="6">
        <v>345</v>
      </c>
      <c r="B347" s="7" t="str">
        <f>"2643202010090903474"</f>
        <v>2643202010090903474</v>
      </c>
      <c r="C347" s="7" t="s">
        <v>14</v>
      </c>
      <c r="D347" s="7" t="str">
        <f>"姚沫"</f>
        <v>姚沫</v>
      </c>
      <c r="E347" s="7" t="str">
        <f>"女"</f>
        <v>女</v>
      </c>
      <c r="F347" s="7" t="str">
        <f>"1998-03-31"</f>
        <v>1998-03-31</v>
      </c>
      <c r="G347" s="6"/>
    </row>
    <row r="348" spans="1:7" ht="30" customHeight="1">
      <c r="A348" s="6">
        <v>346</v>
      </c>
      <c r="B348" s="7" t="str">
        <f>"26432020100910100134"</f>
        <v>26432020100910100134</v>
      </c>
      <c r="C348" s="7" t="s">
        <v>14</v>
      </c>
      <c r="D348" s="7" t="str">
        <f>"袁宏丰"</f>
        <v>袁宏丰</v>
      </c>
      <c r="E348" s="7" t="str">
        <f>"男"</f>
        <v>男</v>
      </c>
      <c r="F348" s="7" t="str">
        <f>"1992-09-24"</f>
        <v>1992-09-24</v>
      </c>
      <c r="G348" s="6"/>
    </row>
    <row r="349" spans="1:7" ht="30" customHeight="1">
      <c r="A349" s="6">
        <v>347</v>
      </c>
      <c r="B349" s="7" t="str">
        <f>"26432020100910140337"</f>
        <v>26432020100910140337</v>
      </c>
      <c r="C349" s="7" t="s">
        <v>14</v>
      </c>
      <c r="D349" s="7" t="str">
        <f>"曾容"</f>
        <v>曾容</v>
      </c>
      <c r="E349" s="7" t="str">
        <f>"女"</f>
        <v>女</v>
      </c>
      <c r="F349" s="7" t="str">
        <f>"1995-12-26"</f>
        <v>1995-12-26</v>
      </c>
      <c r="G349" s="6"/>
    </row>
    <row r="350" spans="1:7" ht="30" customHeight="1">
      <c r="A350" s="6">
        <v>348</v>
      </c>
      <c r="B350" s="7" t="str">
        <f>"26432020100910451049"</f>
        <v>26432020100910451049</v>
      </c>
      <c r="C350" s="7" t="s">
        <v>14</v>
      </c>
      <c r="D350" s="7" t="str">
        <f>"林志笛"</f>
        <v>林志笛</v>
      </c>
      <c r="E350" s="7" t="str">
        <f>"女"</f>
        <v>女</v>
      </c>
      <c r="F350" s="7" t="str">
        <f>"1997-10-16"</f>
        <v>1997-10-16</v>
      </c>
      <c r="G350" s="6"/>
    </row>
    <row r="351" spans="1:7" ht="30" customHeight="1">
      <c r="A351" s="6">
        <v>349</v>
      </c>
      <c r="B351" s="7" t="str">
        <f>"26432020100910451450"</f>
        <v>26432020100910451450</v>
      </c>
      <c r="C351" s="7" t="s">
        <v>14</v>
      </c>
      <c r="D351" s="7" t="str">
        <f>"张新雨"</f>
        <v>张新雨</v>
      </c>
      <c r="E351" s="7" t="str">
        <f>"男"</f>
        <v>男</v>
      </c>
      <c r="F351" s="7" t="str">
        <f>"1997-04-19"</f>
        <v>1997-04-19</v>
      </c>
      <c r="G351" s="6"/>
    </row>
    <row r="352" spans="1:7" ht="30" customHeight="1">
      <c r="A352" s="6">
        <v>350</v>
      </c>
      <c r="B352" s="7" t="str">
        <f>"26432020100910584761"</f>
        <v>26432020100910584761</v>
      </c>
      <c r="C352" s="7" t="s">
        <v>14</v>
      </c>
      <c r="D352" s="7" t="str">
        <f>"阮志成"</f>
        <v>阮志成</v>
      </c>
      <c r="E352" s="7" t="str">
        <f>"男"</f>
        <v>男</v>
      </c>
      <c r="F352" s="7" t="str">
        <f>"1997-01-27"</f>
        <v>1997-01-27</v>
      </c>
      <c r="G352" s="6"/>
    </row>
    <row r="353" spans="1:7" ht="30" customHeight="1">
      <c r="A353" s="6">
        <v>351</v>
      </c>
      <c r="B353" s="7" t="str">
        <f>"26432020100911400877"</f>
        <v>26432020100911400877</v>
      </c>
      <c r="C353" s="7" t="s">
        <v>14</v>
      </c>
      <c r="D353" s="7" t="str">
        <f>"裴艳好"</f>
        <v>裴艳好</v>
      </c>
      <c r="E353" s="7" t="str">
        <f>"女"</f>
        <v>女</v>
      </c>
      <c r="F353" s="7" t="str">
        <f>"1998-06-29"</f>
        <v>1998-06-29</v>
      </c>
      <c r="G353" s="6"/>
    </row>
    <row r="354" spans="1:7" ht="30" customHeight="1">
      <c r="A354" s="6">
        <v>352</v>
      </c>
      <c r="B354" s="7" t="str">
        <f>"26432020100911440478"</f>
        <v>26432020100911440478</v>
      </c>
      <c r="C354" s="7" t="s">
        <v>14</v>
      </c>
      <c r="D354" s="7" t="str">
        <f>"颜达红"</f>
        <v>颜达红</v>
      </c>
      <c r="E354" s="7" t="str">
        <f>"女"</f>
        <v>女</v>
      </c>
      <c r="F354" s="7" t="str">
        <f>"1995-06-27"</f>
        <v>1995-06-27</v>
      </c>
      <c r="G354" s="6"/>
    </row>
    <row r="355" spans="1:7" ht="30" customHeight="1">
      <c r="A355" s="6">
        <v>353</v>
      </c>
      <c r="B355" s="7" t="str">
        <f>"26432020100912175288"</f>
        <v>26432020100912175288</v>
      </c>
      <c r="C355" s="7" t="s">
        <v>14</v>
      </c>
      <c r="D355" s="7" t="str">
        <f>"莫家阳"</f>
        <v>莫家阳</v>
      </c>
      <c r="E355" s="7" t="str">
        <f>"男"</f>
        <v>男</v>
      </c>
      <c r="F355" s="7" t="str">
        <f>"1996-06-02"</f>
        <v>1996-06-02</v>
      </c>
      <c r="G355" s="6"/>
    </row>
    <row r="356" spans="1:7" ht="30" customHeight="1">
      <c r="A356" s="6">
        <v>354</v>
      </c>
      <c r="B356" s="7" t="str">
        <f>"26432020100912321292"</f>
        <v>26432020100912321292</v>
      </c>
      <c r="C356" s="7" t="s">
        <v>14</v>
      </c>
      <c r="D356" s="7" t="str">
        <f>"符佳秀"</f>
        <v>符佳秀</v>
      </c>
      <c r="E356" s="7" t="str">
        <f>"女"</f>
        <v>女</v>
      </c>
      <c r="F356" s="7" t="str">
        <f>"1997-09-08"</f>
        <v>1997-09-08</v>
      </c>
      <c r="G356" s="6"/>
    </row>
    <row r="357" spans="1:7" ht="30" customHeight="1">
      <c r="A357" s="6">
        <v>355</v>
      </c>
      <c r="B357" s="7" t="str">
        <f>"26432020100912322293"</f>
        <v>26432020100912322293</v>
      </c>
      <c r="C357" s="7" t="s">
        <v>14</v>
      </c>
      <c r="D357" s="7" t="str">
        <f>"刘青霞"</f>
        <v>刘青霞</v>
      </c>
      <c r="E357" s="7" t="str">
        <f>"女"</f>
        <v>女</v>
      </c>
      <c r="F357" s="7" t="str">
        <f>"1995-07-14"</f>
        <v>1995-07-14</v>
      </c>
      <c r="G357" s="6"/>
    </row>
    <row r="358" spans="1:7" ht="30" customHeight="1">
      <c r="A358" s="6">
        <v>356</v>
      </c>
      <c r="B358" s="7" t="str">
        <f>"26432020100912345095"</f>
        <v>26432020100912345095</v>
      </c>
      <c r="C358" s="7" t="s">
        <v>14</v>
      </c>
      <c r="D358" s="7" t="str">
        <f>"孙琳"</f>
        <v>孙琳</v>
      </c>
      <c r="E358" s="7" t="str">
        <f>"女"</f>
        <v>女</v>
      </c>
      <c r="F358" s="7" t="str">
        <f>"1999-05-14"</f>
        <v>1999-05-14</v>
      </c>
      <c r="G358" s="6"/>
    </row>
    <row r="359" spans="1:7" ht="30" customHeight="1">
      <c r="A359" s="6">
        <v>357</v>
      </c>
      <c r="B359" s="7" t="str">
        <f>"26432020100912451698"</f>
        <v>26432020100912451698</v>
      </c>
      <c r="C359" s="7" t="s">
        <v>14</v>
      </c>
      <c r="D359" s="7" t="str">
        <f>"蔡承俊"</f>
        <v>蔡承俊</v>
      </c>
      <c r="E359" s="7" t="str">
        <f>"男"</f>
        <v>男</v>
      </c>
      <c r="F359" s="7" t="str">
        <f>"1998-11-18"</f>
        <v>1998-11-18</v>
      </c>
      <c r="G359" s="6"/>
    </row>
    <row r="360" spans="1:7" ht="30" customHeight="1">
      <c r="A360" s="6">
        <v>358</v>
      </c>
      <c r="B360" s="7" t="str">
        <f>"264320201009130648104"</f>
        <v>264320201009130648104</v>
      </c>
      <c r="C360" s="7" t="s">
        <v>14</v>
      </c>
      <c r="D360" s="7" t="str">
        <f>"吴彩瑜"</f>
        <v>吴彩瑜</v>
      </c>
      <c r="E360" s="7" t="str">
        <f>"女"</f>
        <v>女</v>
      </c>
      <c r="F360" s="7" t="str">
        <f>"1996-07-03"</f>
        <v>1996-07-03</v>
      </c>
      <c r="G360" s="6"/>
    </row>
    <row r="361" spans="1:7" ht="30" customHeight="1">
      <c r="A361" s="6">
        <v>359</v>
      </c>
      <c r="B361" s="7" t="str">
        <f>"264320201009134049108"</f>
        <v>264320201009134049108</v>
      </c>
      <c r="C361" s="7" t="s">
        <v>14</v>
      </c>
      <c r="D361" s="7" t="str">
        <f>"许婧"</f>
        <v>许婧</v>
      </c>
      <c r="E361" s="7" t="str">
        <f>"女"</f>
        <v>女</v>
      </c>
      <c r="F361" s="7" t="str">
        <f>"1995-01-10"</f>
        <v>1995-01-10</v>
      </c>
      <c r="G361" s="6"/>
    </row>
    <row r="362" spans="1:7" ht="30" customHeight="1">
      <c r="A362" s="6">
        <v>360</v>
      </c>
      <c r="B362" s="7" t="str">
        <f>"264320201009135011111"</f>
        <v>264320201009135011111</v>
      </c>
      <c r="C362" s="7" t="s">
        <v>14</v>
      </c>
      <c r="D362" s="7" t="str">
        <f>"容敏"</f>
        <v>容敏</v>
      </c>
      <c r="E362" s="7" t="str">
        <f>"女"</f>
        <v>女</v>
      </c>
      <c r="F362" s="7" t="str">
        <f>"1998-04-28"</f>
        <v>1998-04-28</v>
      </c>
      <c r="G362" s="6"/>
    </row>
    <row r="363" spans="1:7" ht="30" customHeight="1">
      <c r="A363" s="6">
        <v>361</v>
      </c>
      <c r="B363" s="7" t="str">
        <f>"264320201009140620116"</f>
        <v>264320201009140620116</v>
      </c>
      <c r="C363" s="7" t="s">
        <v>14</v>
      </c>
      <c r="D363" s="7" t="str">
        <f>"何佳怡"</f>
        <v>何佳怡</v>
      </c>
      <c r="E363" s="7" t="str">
        <f>"女"</f>
        <v>女</v>
      </c>
      <c r="F363" s="7" t="str">
        <f>"1996-09"</f>
        <v>1996-09</v>
      </c>
      <c r="G363" s="6"/>
    </row>
    <row r="364" spans="1:7" ht="30" customHeight="1">
      <c r="A364" s="6">
        <v>362</v>
      </c>
      <c r="B364" s="7" t="str">
        <f>"264320201009140755117"</f>
        <v>264320201009140755117</v>
      </c>
      <c r="C364" s="7" t="s">
        <v>14</v>
      </c>
      <c r="D364" s="7" t="str">
        <f>"邓梓晖"</f>
        <v>邓梓晖</v>
      </c>
      <c r="E364" s="7" t="str">
        <f>"男"</f>
        <v>男</v>
      </c>
      <c r="F364" s="7" t="str">
        <f>"1998-01-24"</f>
        <v>1998-01-24</v>
      </c>
      <c r="G364" s="6"/>
    </row>
    <row r="365" spans="1:7" ht="30" customHeight="1">
      <c r="A365" s="6">
        <v>363</v>
      </c>
      <c r="B365" s="7" t="str">
        <f>"264320201009141225119"</f>
        <v>264320201009141225119</v>
      </c>
      <c r="C365" s="7" t="s">
        <v>14</v>
      </c>
      <c r="D365" s="7" t="str">
        <f>"王静"</f>
        <v>王静</v>
      </c>
      <c r="E365" s="7" t="str">
        <f>"女"</f>
        <v>女</v>
      </c>
      <c r="F365" s="7" t="str">
        <f>"1997-11-22"</f>
        <v>1997-11-22</v>
      </c>
      <c r="G365" s="6"/>
    </row>
    <row r="366" spans="1:7" ht="30" customHeight="1">
      <c r="A366" s="6">
        <v>364</v>
      </c>
      <c r="B366" s="7" t="str">
        <f>"264320201009142408121"</f>
        <v>264320201009142408121</v>
      </c>
      <c r="C366" s="7" t="s">
        <v>14</v>
      </c>
      <c r="D366" s="7" t="str">
        <f>"梁其锐"</f>
        <v>梁其锐</v>
      </c>
      <c r="E366" s="7" t="str">
        <f>"男"</f>
        <v>男</v>
      </c>
      <c r="F366" s="7" t="str">
        <f>"1996-07-27"</f>
        <v>1996-07-27</v>
      </c>
      <c r="G366" s="6"/>
    </row>
    <row r="367" spans="1:7" ht="30" customHeight="1">
      <c r="A367" s="6">
        <v>365</v>
      </c>
      <c r="B367" s="7" t="str">
        <f>"264320201009144046122"</f>
        <v>264320201009144046122</v>
      </c>
      <c r="C367" s="7" t="s">
        <v>14</v>
      </c>
      <c r="D367" s="7" t="str">
        <f>"吴小桐"</f>
        <v>吴小桐</v>
      </c>
      <c r="E367" s="7" t="str">
        <f>"女"</f>
        <v>女</v>
      </c>
      <c r="F367" s="7" t="str">
        <f>"1998-12-10"</f>
        <v>1998-12-10</v>
      </c>
      <c r="G367" s="6"/>
    </row>
    <row r="368" spans="1:7" ht="30" customHeight="1">
      <c r="A368" s="6">
        <v>366</v>
      </c>
      <c r="B368" s="7" t="str">
        <f>"264320201009152603128"</f>
        <v>264320201009152603128</v>
      </c>
      <c r="C368" s="7" t="s">
        <v>14</v>
      </c>
      <c r="D368" s="7" t="str">
        <f>"何精杯"</f>
        <v>何精杯</v>
      </c>
      <c r="E368" s="7" t="str">
        <f>"女"</f>
        <v>女</v>
      </c>
      <c r="F368" s="7" t="str">
        <f>"1997-04-15"</f>
        <v>1997-04-15</v>
      </c>
      <c r="G368" s="6"/>
    </row>
    <row r="369" spans="1:7" ht="30" customHeight="1">
      <c r="A369" s="6">
        <v>367</v>
      </c>
      <c r="B369" s="7" t="str">
        <f>"264320201009153123130"</f>
        <v>264320201009153123130</v>
      </c>
      <c r="C369" s="7" t="s">
        <v>14</v>
      </c>
      <c r="D369" s="7" t="str">
        <f>"刘洋"</f>
        <v>刘洋</v>
      </c>
      <c r="E369" s="7" t="str">
        <f>"男"</f>
        <v>男</v>
      </c>
      <c r="F369" s="7" t="str">
        <f>"1992-11-06"</f>
        <v>1992-11-06</v>
      </c>
      <c r="G369" s="6"/>
    </row>
    <row r="370" spans="1:7" ht="30" customHeight="1">
      <c r="A370" s="6">
        <v>368</v>
      </c>
      <c r="B370" s="7" t="str">
        <f>"264320201009154847133"</f>
        <v>264320201009154847133</v>
      </c>
      <c r="C370" s="7" t="s">
        <v>14</v>
      </c>
      <c r="D370" s="7" t="str">
        <f>"马骅"</f>
        <v>马骅</v>
      </c>
      <c r="E370" s="7" t="str">
        <f>"女"</f>
        <v>女</v>
      </c>
      <c r="F370" s="7" t="str">
        <f>"1996-05-26"</f>
        <v>1996-05-26</v>
      </c>
      <c r="G370" s="6"/>
    </row>
    <row r="371" spans="1:7" ht="30" customHeight="1">
      <c r="A371" s="6">
        <v>369</v>
      </c>
      <c r="B371" s="7" t="str">
        <f>"264320201009162911144"</f>
        <v>264320201009162911144</v>
      </c>
      <c r="C371" s="7" t="s">
        <v>14</v>
      </c>
      <c r="D371" s="7" t="str">
        <f>"金淑珍"</f>
        <v>金淑珍</v>
      </c>
      <c r="E371" s="7" t="str">
        <f>"女"</f>
        <v>女</v>
      </c>
      <c r="F371" s="7" t="str">
        <f>"1995-10-14"</f>
        <v>1995-10-14</v>
      </c>
      <c r="G371" s="6"/>
    </row>
    <row r="372" spans="1:7" ht="30" customHeight="1">
      <c r="A372" s="6">
        <v>370</v>
      </c>
      <c r="B372" s="7" t="str">
        <f>"264320201009163722147"</f>
        <v>264320201009163722147</v>
      </c>
      <c r="C372" s="7" t="s">
        <v>14</v>
      </c>
      <c r="D372" s="7" t="str">
        <f>"郑大洲"</f>
        <v>郑大洲</v>
      </c>
      <c r="E372" s="7" t="str">
        <f>"男"</f>
        <v>男</v>
      </c>
      <c r="F372" s="7" t="str">
        <f>"1998-03-20"</f>
        <v>1998-03-20</v>
      </c>
      <c r="G372" s="6"/>
    </row>
    <row r="373" spans="1:7" ht="30" customHeight="1">
      <c r="A373" s="6">
        <v>371</v>
      </c>
      <c r="B373" s="7" t="str">
        <f>"264320201009164756151"</f>
        <v>264320201009164756151</v>
      </c>
      <c r="C373" s="7" t="s">
        <v>14</v>
      </c>
      <c r="D373" s="7" t="str">
        <f>"梁超栋"</f>
        <v>梁超栋</v>
      </c>
      <c r="E373" s="7" t="str">
        <f>"男"</f>
        <v>男</v>
      </c>
      <c r="F373" s="7" t="str">
        <f>"1994-03-25"</f>
        <v>1994-03-25</v>
      </c>
      <c r="G373" s="6"/>
    </row>
    <row r="374" spans="1:7" ht="30" customHeight="1">
      <c r="A374" s="6">
        <v>372</v>
      </c>
      <c r="B374" s="7" t="str">
        <f>"264320201009170404154"</f>
        <v>264320201009170404154</v>
      </c>
      <c r="C374" s="7" t="s">
        <v>14</v>
      </c>
      <c r="D374" s="7" t="str">
        <f>"李孟花"</f>
        <v>李孟花</v>
      </c>
      <c r="E374" s="7" t="str">
        <f>"女"</f>
        <v>女</v>
      </c>
      <c r="F374" s="7" t="str">
        <f>"1998-07-22"</f>
        <v>1998-07-22</v>
      </c>
      <c r="G374" s="6"/>
    </row>
    <row r="375" spans="1:7" ht="30" customHeight="1">
      <c r="A375" s="6">
        <v>373</v>
      </c>
      <c r="B375" s="7" t="str">
        <f>"264320201009171218158"</f>
        <v>264320201009171218158</v>
      </c>
      <c r="C375" s="7" t="s">
        <v>14</v>
      </c>
      <c r="D375" s="7" t="str">
        <f>"刘立童"</f>
        <v>刘立童</v>
      </c>
      <c r="E375" s="7" t="str">
        <f>"女"</f>
        <v>女</v>
      </c>
      <c r="F375" s="7" t="str">
        <f>"1997-12-21"</f>
        <v>1997-12-21</v>
      </c>
      <c r="G375" s="6"/>
    </row>
    <row r="376" spans="1:7" ht="30" customHeight="1">
      <c r="A376" s="6">
        <v>374</v>
      </c>
      <c r="B376" s="7" t="str">
        <f>"264320201009172902163"</f>
        <v>264320201009172902163</v>
      </c>
      <c r="C376" s="7" t="s">
        <v>14</v>
      </c>
      <c r="D376" s="7" t="str">
        <f>"陈泽"</f>
        <v>陈泽</v>
      </c>
      <c r="E376" s="7" t="str">
        <f>"男"</f>
        <v>男</v>
      </c>
      <c r="F376" s="7" t="str">
        <f>"1996-07-17"</f>
        <v>1996-07-17</v>
      </c>
      <c r="G376" s="6"/>
    </row>
    <row r="377" spans="1:7" ht="30" customHeight="1">
      <c r="A377" s="6">
        <v>375</v>
      </c>
      <c r="B377" s="7" t="str">
        <f>"264320201009174745169"</f>
        <v>264320201009174745169</v>
      </c>
      <c r="C377" s="7" t="s">
        <v>14</v>
      </c>
      <c r="D377" s="7" t="str">
        <f>"黄怡"</f>
        <v>黄怡</v>
      </c>
      <c r="E377" s="7" t="str">
        <f>"女"</f>
        <v>女</v>
      </c>
      <c r="F377" s="7" t="str">
        <f>"1998-06-12"</f>
        <v>1998-06-12</v>
      </c>
      <c r="G377" s="6"/>
    </row>
    <row r="378" spans="1:7" ht="30" customHeight="1">
      <c r="A378" s="6">
        <v>376</v>
      </c>
      <c r="B378" s="7" t="str">
        <f>"264320201009181452176"</f>
        <v>264320201009181452176</v>
      </c>
      <c r="C378" s="7" t="s">
        <v>14</v>
      </c>
      <c r="D378" s="7" t="str">
        <f>"刘英蔚"</f>
        <v>刘英蔚</v>
      </c>
      <c r="E378" s="7" t="str">
        <f>"女"</f>
        <v>女</v>
      </c>
      <c r="F378" s="7" t="str">
        <f>"1991-03-22"</f>
        <v>1991-03-22</v>
      </c>
      <c r="G378" s="6"/>
    </row>
    <row r="379" spans="1:7" ht="30" customHeight="1">
      <c r="A379" s="6">
        <v>377</v>
      </c>
      <c r="B379" s="7" t="str">
        <f>"264320201009182343178"</f>
        <v>264320201009182343178</v>
      </c>
      <c r="C379" s="7" t="s">
        <v>14</v>
      </c>
      <c r="D379" s="7" t="str">
        <f>"陈丹"</f>
        <v>陈丹</v>
      </c>
      <c r="E379" s="7" t="str">
        <f>"女"</f>
        <v>女</v>
      </c>
      <c r="F379" s="7" t="str">
        <f>"1996-12-01"</f>
        <v>1996-12-01</v>
      </c>
      <c r="G379" s="6"/>
    </row>
    <row r="380" spans="1:7" ht="30" customHeight="1">
      <c r="A380" s="6">
        <v>378</v>
      </c>
      <c r="B380" s="7" t="str">
        <f>"264320201009184824182"</f>
        <v>264320201009184824182</v>
      </c>
      <c r="C380" s="7" t="s">
        <v>14</v>
      </c>
      <c r="D380" s="7" t="str">
        <f>"赖明裕"</f>
        <v>赖明裕</v>
      </c>
      <c r="E380" s="7" t="str">
        <f>"男"</f>
        <v>男</v>
      </c>
      <c r="F380" s="7" t="str">
        <f>"1996-09-26"</f>
        <v>1996-09-26</v>
      </c>
      <c r="G380" s="6"/>
    </row>
    <row r="381" spans="1:7" ht="30" customHeight="1">
      <c r="A381" s="6">
        <v>379</v>
      </c>
      <c r="B381" s="7" t="str">
        <f>"264320201009185654184"</f>
        <v>264320201009185654184</v>
      </c>
      <c r="C381" s="7" t="s">
        <v>14</v>
      </c>
      <c r="D381" s="7" t="str">
        <f>"王昱泽"</f>
        <v>王昱泽</v>
      </c>
      <c r="E381" s="7" t="str">
        <f>"女"</f>
        <v>女</v>
      </c>
      <c r="F381" s="7" t="str">
        <f>"1997-04-25"</f>
        <v>1997-04-25</v>
      </c>
      <c r="G381" s="6"/>
    </row>
    <row r="382" spans="1:7" ht="30" customHeight="1">
      <c r="A382" s="6">
        <v>380</v>
      </c>
      <c r="B382" s="7" t="str">
        <f>"264320201009191947187"</f>
        <v>264320201009191947187</v>
      </c>
      <c r="C382" s="7" t="s">
        <v>14</v>
      </c>
      <c r="D382" s="7" t="str">
        <f>"周度胜"</f>
        <v>周度胜</v>
      </c>
      <c r="E382" s="7" t="str">
        <f>"男"</f>
        <v>男</v>
      </c>
      <c r="F382" s="7" t="str">
        <f>"1996-12-22"</f>
        <v>1996-12-22</v>
      </c>
      <c r="G382" s="6"/>
    </row>
    <row r="383" spans="1:7" ht="30" customHeight="1">
      <c r="A383" s="6">
        <v>381</v>
      </c>
      <c r="B383" s="7" t="str">
        <f>"264320201009193525194"</f>
        <v>264320201009193525194</v>
      </c>
      <c r="C383" s="7" t="s">
        <v>14</v>
      </c>
      <c r="D383" s="7" t="str">
        <f>"余天玮"</f>
        <v>余天玮</v>
      </c>
      <c r="E383" s="7" t="str">
        <f aca="true" t="shared" si="16" ref="E383:E399">"女"</f>
        <v>女</v>
      </c>
      <c r="F383" s="7" t="str">
        <f>"1998-06-02"</f>
        <v>1998-06-02</v>
      </c>
      <c r="G383" s="6"/>
    </row>
    <row r="384" spans="1:7" ht="30" customHeight="1">
      <c r="A384" s="6">
        <v>382</v>
      </c>
      <c r="B384" s="7" t="str">
        <f>"264320201009194304198"</f>
        <v>264320201009194304198</v>
      </c>
      <c r="C384" s="7" t="s">
        <v>14</v>
      </c>
      <c r="D384" s="7" t="str">
        <f>"张长女"</f>
        <v>张长女</v>
      </c>
      <c r="E384" s="7" t="str">
        <f t="shared" si="16"/>
        <v>女</v>
      </c>
      <c r="F384" s="7" t="str">
        <f>"1997-07-15"</f>
        <v>1997-07-15</v>
      </c>
      <c r="G384" s="6"/>
    </row>
    <row r="385" spans="1:7" ht="30" customHeight="1">
      <c r="A385" s="6">
        <v>383</v>
      </c>
      <c r="B385" s="7" t="str">
        <f>"264320201009210322212"</f>
        <v>264320201009210322212</v>
      </c>
      <c r="C385" s="7" t="s">
        <v>14</v>
      </c>
      <c r="D385" s="7" t="str">
        <f>"吴桃艳"</f>
        <v>吴桃艳</v>
      </c>
      <c r="E385" s="7" t="str">
        <f t="shared" si="16"/>
        <v>女</v>
      </c>
      <c r="F385" s="7" t="str">
        <f>"1994-04-01"</f>
        <v>1994-04-01</v>
      </c>
      <c r="G385" s="6"/>
    </row>
    <row r="386" spans="1:7" ht="30" customHeight="1">
      <c r="A386" s="6">
        <v>384</v>
      </c>
      <c r="B386" s="7" t="str">
        <f>"264320201009211255214"</f>
        <v>264320201009211255214</v>
      </c>
      <c r="C386" s="7" t="s">
        <v>14</v>
      </c>
      <c r="D386" s="7" t="str">
        <f>"潘娆琼"</f>
        <v>潘娆琼</v>
      </c>
      <c r="E386" s="7" t="str">
        <f t="shared" si="16"/>
        <v>女</v>
      </c>
      <c r="F386" s="7" t="str">
        <f>"1996-09-19"</f>
        <v>1996-09-19</v>
      </c>
      <c r="G386" s="6"/>
    </row>
    <row r="387" spans="1:7" ht="30" customHeight="1">
      <c r="A387" s="6">
        <v>385</v>
      </c>
      <c r="B387" s="7" t="str">
        <f>"264320201009212357216"</f>
        <v>264320201009212357216</v>
      </c>
      <c r="C387" s="7" t="s">
        <v>14</v>
      </c>
      <c r="D387" s="7" t="str">
        <f>"刘芷琳"</f>
        <v>刘芷琳</v>
      </c>
      <c r="E387" s="7" t="str">
        <f t="shared" si="16"/>
        <v>女</v>
      </c>
      <c r="F387" s="7" t="str">
        <f>"1997-10-18"</f>
        <v>1997-10-18</v>
      </c>
      <c r="G387" s="6"/>
    </row>
    <row r="388" spans="1:7" ht="30" customHeight="1">
      <c r="A388" s="6">
        <v>386</v>
      </c>
      <c r="B388" s="7" t="str">
        <f>"264320201009214352217"</f>
        <v>264320201009214352217</v>
      </c>
      <c r="C388" s="7" t="s">
        <v>14</v>
      </c>
      <c r="D388" s="7" t="str">
        <f>"朱妙甜"</f>
        <v>朱妙甜</v>
      </c>
      <c r="E388" s="7" t="str">
        <f t="shared" si="16"/>
        <v>女</v>
      </c>
      <c r="F388" s="7" t="str">
        <f>"1996-09-06"</f>
        <v>1996-09-06</v>
      </c>
      <c r="G388" s="6"/>
    </row>
    <row r="389" spans="1:7" ht="30" customHeight="1">
      <c r="A389" s="6">
        <v>387</v>
      </c>
      <c r="B389" s="7" t="str">
        <f>"264320201009221749224"</f>
        <v>264320201009221749224</v>
      </c>
      <c r="C389" s="7" t="s">
        <v>14</v>
      </c>
      <c r="D389" s="7" t="str">
        <f>"万珈利"</f>
        <v>万珈利</v>
      </c>
      <c r="E389" s="7" t="str">
        <f t="shared" si="16"/>
        <v>女</v>
      </c>
      <c r="F389" s="7" t="str">
        <f>"1998-03-08"</f>
        <v>1998-03-08</v>
      </c>
      <c r="G389" s="6"/>
    </row>
    <row r="390" spans="1:7" ht="30" customHeight="1">
      <c r="A390" s="6">
        <v>388</v>
      </c>
      <c r="B390" s="7" t="str">
        <f>"264320201010002543240"</f>
        <v>264320201010002543240</v>
      </c>
      <c r="C390" s="7" t="s">
        <v>14</v>
      </c>
      <c r="D390" s="7" t="str">
        <f>"凌立燕"</f>
        <v>凌立燕</v>
      </c>
      <c r="E390" s="7" t="str">
        <f t="shared" si="16"/>
        <v>女</v>
      </c>
      <c r="F390" s="7" t="str">
        <f>"1996-03-08"</f>
        <v>1996-03-08</v>
      </c>
      <c r="G390" s="6"/>
    </row>
    <row r="391" spans="1:7" ht="30" customHeight="1">
      <c r="A391" s="6">
        <v>389</v>
      </c>
      <c r="B391" s="7" t="str">
        <f>"264320201010012009241"</f>
        <v>264320201010012009241</v>
      </c>
      <c r="C391" s="7" t="s">
        <v>14</v>
      </c>
      <c r="D391" s="7" t="str">
        <f>"王瑞欣"</f>
        <v>王瑞欣</v>
      </c>
      <c r="E391" s="7" t="str">
        <f t="shared" si="16"/>
        <v>女</v>
      </c>
      <c r="F391" s="7" t="str">
        <f>"1997-02-21"</f>
        <v>1997-02-21</v>
      </c>
      <c r="G391" s="6"/>
    </row>
    <row r="392" spans="1:7" ht="30" customHeight="1">
      <c r="A392" s="6">
        <v>390</v>
      </c>
      <c r="B392" s="7" t="str">
        <f>"264320201010013126242"</f>
        <v>264320201010013126242</v>
      </c>
      <c r="C392" s="7" t="s">
        <v>14</v>
      </c>
      <c r="D392" s="7" t="str">
        <f>"梁荣玲"</f>
        <v>梁荣玲</v>
      </c>
      <c r="E392" s="7" t="str">
        <f t="shared" si="16"/>
        <v>女</v>
      </c>
      <c r="F392" s="7" t="str">
        <f>"1998-05-16"</f>
        <v>1998-05-16</v>
      </c>
      <c r="G392" s="6"/>
    </row>
    <row r="393" spans="1:7" ht="30" customHeight="1">
      <c r="A393" s="6">
        <v>391</v>
      </c>
      <c r="B393" s="7" t="str">
        <f>"264320201010092213253"</f>
        <v>264320201010092213253</v>
      </c>
      <c r="C393" s="7" t="s">
        <v>14</v>
      </c>
      <c r="D393" s="7" t="str">
        <f>"吴莉"</f>
        <v>吴莉</v>
      </c>
      <c r="E393" s="7" t="str">
        <f t="shared" si="16"/>
        <v>女</v>
      </c>
      <c r="F393" s="7" t="str">
        <f>"1996-08-26"</f>
        <v>1996-08-26</v>
      </c>
      <c r="G393" s="6"/>
    </row>
    <row r="394" spans="1:7" ht="30" customHeight="1">
      <c r="A394" s="6">
        <v>392</v>
      </c>
      <c r="B394" s="7" t="str">
        <f>"264320201010093221256"</f>
        <v>264320201010093221256</v>
      </c>
      <c r="C394" s="7" t="s">
        <v>14</v>
      </c>
      <c r="D394" s="7" t="str">
        <f>"张蕙"</f>
        <v>张蕙</v>
      </c>
      <c r="E394" s="7" t="str">
        <f t="shared" si="16"/>
        <v>女</v>
      </c>
      <c r="F394" s="7" t="str">
        <f>"1993-07-09"</f>
        <v>1993-07-09</v>
      </c>
      <c r="G394" s="6"/>
    </row>
    <row r="395" spans="1:7" ht="30" customHeight="1">
      <c r="A395" s="6">
        <v>393</v>
      </c>
      <c r="B395" s="7" t="str">
        <f>"264320201010103000268"</f>
        <v>264320201010103000268</v>
      </c>
      <c r="C395" s="7" t="s">
        <v>14</v>
      </c>
      <c r="D395" s="7" t="str">
        <f>"张雅丽"</f>
        <v>张雅丽</v>
      </c>
      <c r="E395" s="7" t="str">
        <f t="shared" si="16"/>
        <v>女</v>
      </c>
      <c r="F395" s="7" t="str">
        <f>"1998-11-27"</f>
        <v>1998-11-27</v>
      </c>
      <c r="G395" s="6"/>
    </row>
    <row r="396" spans="1:7" ht="30" customHeight="1">
      <c r="A396" s="6">
        <v>394</v>
      </c>
      <c r="B396" s="7" t="str">
        <f>"264320201010105908275"</f>
        <v>264320201010105908275</v>
      </c>
      <c r="C396" s="7" t="s">
        <v>14</v>
      </c>
      <c r="D396" s="7" t="str">
        <f>"王婕妤"</f>
        <v>王婕妤</v>
      </c>
      <c r="E396" s="7" t="str">
        <f t="shared" si="16"/>
        <v>女</v>
      </c>
      <c r="F396" s="7" t="str">
        <f>"1998-01-19"</f>
        <v>1998-01-19</v>
      </c>
      <c r="G396" s="6"/>
    </row>
    <row r="397" spans="1:7" ht="30" customHeight="1">
      <c r="A397" s="6">
        <v>395</v>
      </c>
      <c r="B397" s="7" t="str">
        <f>"264320201010112308278"</f>
        <v>264320201010112308278</v>
      </c>
      <c r="C397" s="7" t="s">
        <v>14</v>
      </c>
      <c r="D397" s="7" t="str">
        <f>"林志雅"</f>
        <v>林志雅</v>
      </c>
      <c r="E397" s="7" t="str">
        <f t="shared" si="16"/>
        <v>女</v>
      </c>
      <c r="F397" s="7" t="str">
        <f>"1996-06-23"</f>
        <v>1996-06-23</v>
      </c>
      <c r="G397" s="6"/>
    </row>
    <row r="398" spans="1:7" ht="30" customHeight="1">
      <c r="A398" s="6">
        <v>396</v>
      </c>
      <c r="B398" s="7" t="str">
        <f>"264320201010142214298"</f>
        <v>264320201010142214298</v>
      </c>
      <c r="C398" s="7" t="s">
        <v>14</v>
      </c>
      <c r="D398" s="7" t="str">
        <f>"郑雅芩"</f>
        <v>郑雅芩</v>
      </c>
      <c r="E398" s="7" t="str">
        <f t="shared" si="16"/>
        <v>女</v>
      </c>
      <c r="F398" s="7" t="str">
        <f>"1997-09-16"</f>
        <v>1997-09-16</v>
      </c>
      <c r="G398" s="6"/>
    </row>
    <row r="399" spans="1:7" ht="30" customHeight="1">
      <c r="A399" s="6">
        <v>397</v>
      </c>
      <c r="B399" s="7" t="str">
        <f>"264320201010142708299"</f>
        <v>264320201010142708299</v>
      </c>
      <c r="C399" s="7" t="s">
        <v>14</v>
      </c>
      <c r="D399" s="7" t="str">
        <f>"王雪"</f>
        <v>王雪</v>
      </c>
      <c r="E399" s="7" t="str">
        <f t="shared" si="16"/>
        <v>女</v>
      </c>
      <c r="F399" s="7" t="str">
        <f>"1989-10-20"</f>
        <v>1989-10-20</v>
      </c>
      <c r="G399" s="6"/>
    </row>
    <row r="400" spans="1:7" ht="30" customHeight="1">
      <c r="A400" s="6">
        <v>398</v>
      </c>
      <c r="B400" s="7" t="str">
        <f>"264320201010151105304"</f>
        <v>264320201010151105304</v>
      </c>
      <c r="C400" s="7" t="s">
        <v>14</v>
      </c>
      <c r="D400" s="7" t="str">
        <f>"王杰"</f>
        <v>王杰</v>
      </c>
      <c r="E400" s="7" t="str">
        <f>"男"</f>
        <v>男</v>
      </c>
      <c r="F400" s="7" t="str">
        <f>"1997-09-03"</f>
        <v>1997-09-03</v>
      </c>
      <c r="G400" s="6"/>
    </row>
    <row r="401" spans="1:7" ht="30" customHeight="1">
      <c r="A401" s="6">
        <v>399</v>
      </c>
      <c r="B401" s="7" t="str">
        <f>"264320201010153736306"</f>
        <v>264320201010153736306</v>
      </c>
      <c r="C401" s="7" t="s">
        <v>14</v>
      </c>
      <c r="D401" s="7" t="str">
        <f>"俞权珍"</f>
        <v>俞权珍</v>
      </c>
      <c r="E401" s="7" t="str">
        <f aca="true" t="shared" si="17" ref="E401:E415">"女"</f>
        <v>女</v>
      </c>
      <c r="F401" s="7" t="str">
        <f>"1996-09-09"</f>
        <v>1996-09-09</v>
      </c>
      <c r="G401" s="6"/>
    </row>
    <row r="402" spans="1:7" ht="30" customHeight="1">
      <c r="A402" s="6">
        <v>400</v>
      </c>
      <c r="B402" s="7" t="str">
        <f>"264320201010160244312"</f>
        <v>264320201010160244312</v>
      </c>
      <c r="C402" s="7" t="s">
        <v>14</v>
      </c>
      <c r="D402" s="7" t="str">
        <f>"邢君丽"</f>
        <v>邢君丽</v>
      </c>
      <c r="E402" s="7" t="str">
        <f t="shared" si="17"/>
        <v>女</v>
      </c>
      <c r="F402" s="7" t="str">
        <f>"1997-05-17"</f>
        <v>1997-05-17</v>
      </c>
      <c r="G402" s="6"/>
    </row>
    <row r="403" spans="1:7" ht="30" customHeight="1">
      <c r="A403" s="6">
        <v>401</v>
      </c>
      <c r="B403" s="7" t="str">
        <f>"264320201010163114317"</f>
        <v>264320201010163114317</v>
      </c>
      <c r="C403" s="7" t="s">
        <v>14</v>
      </c>
      <c r="D403" s="7" t="str">
        <f>"郭晓玲"</f>
        <v>郭晓玲</v>
      </c>
      <c r="E403" s="7" t="str">
        <f t="shared" si="17"/>
        <v>女</v>
      </c>
      <c r="F403" s="7" t="str">
        <f>"1995-08-16"</f>
        <v>1995-08-16</v>
      </c>
      <c r="G403" s="6"/>
    </row>
    <row r="404" spans="1:7" ht="30" customHeight="1">
      <c r="A404" s="6">
        <v>402</v>
      </c>
      <c r="B404" s="7" t="str">
        <f>"264320201010163640319"</f>
        <v>264320201010163640319</v>
      </c>
      <c r="C404" s="7" t="s">
        <v>14</v>
      </c>
      <c r="D404" s="7" t="str">
        <f>"王心如"</f>
        <v>王心如</v>
      </c>
      <c r="E404" s="7" t="str">
        <f t="shared" si="17"/>
        <v>女</v>
      </c>
      <c r="F404" s="7" t="str">
        <f>"1998-10-08"</f>
        <v>1998-10-08</v>
      </c>
      <c r="G404" s="6"/>
    </row>
    <row r="405" spans="1:7" ht="30" customHeight="1">
      <c r="A405" s="6">
        <v>403</v>
      </c>
      <c r="B405" s="7" t="str">
        <f>"264320201010202705343"</f>
        <v>264320201010202705343</v>
      </c>
      <c r="C405" s="7" t="s">
        <v>14</v>
      </c>
      <c r="D405" s="7" t="str">
        <f>"李梦怡"</f>
        <v>李梦怡</v>
      </c>
      <c r="E405" s="7" t="str">
        <f t="shared" si="17"/>
        <v>女</v>
      </c>
      <c r="F405" s="7" t="str">
        <f>"1996-03-29"</f>
        <v>1996-03-29</v>
      </c>
      <c r="G405" s="6"/>
    </row>
    <row r="406" spans="1:7" ht="30" customHeight="1">
      <c r="A406" s="6">
        <v>404</v>
      </c>
      <c r="B406" s="7" t="str">
        <f>"264320201010221721352"</f>
        <v>264320201010221721352</v>
      </c>
      <c r="C406" s="7" t="s">
        <v>14</v>
      </c>
      <c r="D406" s="7" t="str">
        <f>"唐庆慧"</f>
        <v>唐庆慧</v>
      </c>
      <c r="E406" s="7" t="str">
        <f t="shared" si="17"/>
        <v>女</v>
      </c>
      <c r="F406" s="7" t="str">
        <f>"1997-09-18"</f>
        <v>1997-09-18</v>
      </c>
      <c r="G406" s="6"/>
    </row>
    <row r="407" spans="1:7" ht="30" customHeight="1">
      <c r="A407" s="6">
        <v>405</v>
      </c>
      <c r="B407" s="7" t="str">
        <f>"264320201010223251354"</f>
        <v>264320201010223251354</v>
      </c>
      <c r="C407" s="7" t="s">
        <v>14</v>
      </c>
      <c r="D407" s="7" t="str">
        <f>"陈冰"</f>
        <v>陈冰</v>
      </c>
      <c r="E407" s="7" t="str">
        <f t="shared" si="17"/>
        <v>女</v>
      </c>
      <c r="F407" s="7" t="str">
        <f>"1999-06-18"</f>
        <v>1999-06-18</v>
      </c>
      <c r="G407" s="6"/>
    </row>
    <row r="408" spans="1:7" ht="30" customHeight="1">
      <c r="A408" s="6">
        <v>406</v>
      </c>
      <c r="B408" s="7" t="str">
        <f>"264320201011102651369"</f>
        <v>264320201011102651369</v>
      </c>
      <c r="C408" s="7" t="s">
        <v>14</v>
      </c>
      <c r="D408" s="7" t="str">
        <f>"温乐珍"</f>
        <v>温乐珍</v>
      </c>
      <c r="E408" s="7" t="str">
        <f t="shared" si="17"/>
        <v>女</v>
      </c>
      <c r="F408" s="7" t="str">
        <f>"1998-02-25"</f>
        <v>1998-02-25</v>
      </c>
      <c r="G408" s="6"/>
    </row>
    <row r="409" spans="1:7" ht="30" customHeight="1">
      <c r="A409" s="6">
        <v>407</v>
      </c>
      <c r="B409" s="7" t="str">
        <f>"264320201011113530372"</f>
        <v>264320201011113530372</v>
      </c>
      <c r="C409" s="7" t="s">
        <v>14</v>
      </c>
      <c r="D409" s="7" t="str">
        <f>"程财英"</f>
        <v>程财英</v>
      </c>
      <c r="E409" s="7" t="str">
        <f t="shared" si="17"/>
        <v>女</v>
      </c>
      <c r="F409" s="7" t="str">
        <f>"1996-12-19"</f>
        <v>1996-12-19</v>
      </c>
      <c r="G409" s="6"/>
    </row>
    <row r="410" spans="1:7" ht="30" customHeight="1">
      <c r="A410" s="6">
        <v>408</v>
      </c>
      <c r="B410" s="7" t="str">
        <f>"264320201011142555382"</f>
        <v>264320201011142555382</v>
      </c>
      <c r="C410" s="7" t="s">
        <v>14</v>
      </c>
      <c r="D410" s="7" t="str">
        <f>"骆梓晴"</f>
        <v>骆梓晴</v>
      </c>
      <c r="E410" s="7" t="str">
        <f t="shared" si="17"/>
        <v>女</v>
      </c>
      <c r="F410" s="7" t="str">
        <f>"1997-04-28"</f>
        <v>1997-04-28</v>
      </c>
      <c r="G410" s="6"/>
    </row>
    <row r="411" spans="1:7" ht="30" customHeight="1">
      <c r="A411" s="6">
        <v>409</v>
      </c>
      <c r="B411" s="7" t="str">
        <f>"264320201011145210383"</f>
        <v>264320201011145210383</v>
      </c>
      <c r="C411" s="7" t="s">
        <v>14</v>
      </c>
      <c r="D411" s="7" t="str">
        <f>"王茜茜"</f>
        <v>王茜茜</v>
      </c>
      <c r="E411" s="7" t="str">
        <f t="shared" si="17"/>
        <v>女</v>
      </c>
      <c r="F411" s="7" t="str">
        <f>"1996-10-10"</f>
        <v>1996-10-10</v>
      </c>
      <c r="G411" s="6"/>
    </row>
    <row r="412" spans="1:7" ht="30" customHeight="1">
      <c r="A412" s="6">
        <v>410</v>
      </c>
      <c r="B412" s="7" t="str">
        <f>"264320201011145742385"</f>
        <v>264320201011145742385</v>
      </c>
      <c r="C412" s="7" t="s">
        <v>14</v>
      </c>
      <c r="D412" s="7" t="str">
        <f>"符玉青"</f>
        <v>符玉青</v>
      </c>
      <c r="E412" s="7" t="str">
        <f t="shared" si="17"/>
        <v>女</v>
      </c>
      <c r="F412" s="7" t="str">
        <f>"1996-02-04"</f>
        <v>1996-02-04</v>
      </c>
      <c r="G412" s="6"/>
    </row>
    <row r="413" spans="1:7" ht="30" customHeight="1">
      <c r="A413" s="6">
        <v>411</v>
      </c>
      <c r="B413" s="7" t="str">
        <f>"264320201011162505394"</f>
        <v>264320201011162505394</v>
      </c>
      <c r="C413" s="7" t="s">
        <v>14</v>
      </c>
      <c r="D413" s="7" t="str">
        <f>"文倩"</f>
        <v>文倩</v>
      </c>
      <c r="E413" s="7" t="str">
        <f t="shared" si="17"/>
        <v>女</v>
      </c>
      <c r="F413" s="7" t="str">
        <f>"1997-12-22"</f>
        <v>1997-12-22</v>
      </c>
      <c r="G413" s="6"/>
    </row>
    <row r="414" spans="1:7" ht="30" customHeight="1">
      <c r="A414" s="6">
        <v>412</v>
      </c>
      <c r="B414" s="7" t="str">
        <f>"264320201011165645396"</f>
        <v>264320201011165645396</v>
      </c>
      <c r="C414" s="7" t="s">
        <v>14</v>
      </c>
      <c r="D414" s="7" t="str">
        <f>"符丽丽"</f>
        <v>符丽丽</v>
      </c>
      <c r="E414" s="7" t="str">
        <f t="shared" si="17"/>
        <v>女</v>
      </c>
      <c r="F414" s="7" t="str">
        <f>"1995-04-21"</f>
        <v>1995-04-21</v>
      </c>
      <c r="G414" s="6"/>
    </row>
    <row r="415" spans="1:7" ht="30" customHeight="1">
      <c r="A415" s="6">
        <v>413</v>
      </c>
      <c r="B415" s="7" t="str">
        <f>"264320201011170701398"</f>
        <v>264320201011170701398</v>
      </c>
      <c r="C415" s="7" t="s">
        <v>14</v>
      </c>
      <c r="D415" s="7" t="str">
        <f>"刘紫"</f>
        <v>刘紫</v>
      </c>
      <c r="E415" s="7" t="str">
        <f t="shared" si="17"/>
        <v>女</v>
      </c>
      <c r="F415" s="7" t="str">
        <f>"1997-09-07"</f>
        <v>1997-09-07</v>
      </c>
      <c r="G415" s="6"/>
    </row>
    <row r="416" spans="1:7" ht="30" customHeight="1">
      <c r="A416" s="6">
        <v>414</v>
      </c>
      <c r="B416" s="7" t="str">
        <f>"264320201011181401399"</f>
        <v>264320201011181401399</v>
      </c>
      <c r="C416" s="7" t="s">
        <v>14</v>
      </c>
      <c r="D416" s="7" t="str">
        <f>"莫光钦"</f>
        <v>莫光钦</v>
      </c>
      <c r="E416" s="7" t="str">
        <f>"男"</f>
        <v>男</v>
      </c>
      <c r="F416" s="7" t="str">
        <f>"1990-05-04"</f>
        <v>1990-05-04</v>
      </c>
      <c r="G416" s="6"/>
    </row>
    <row r="417" spans="1:7" ht="30" customHeight="1">
      <c r="A417" s="6">
        <v>415</v>
      </c>
      <c r="B417" s="7" t="str">
        <f>"264320201011201745404"</f>
        <v>264320201011201745404</v>
      </c>
      <c r="C417" s="7" t="s">
        <v>14</v>
      </c>
      <c r="D417" s="7" t="str">
        <f>"李佳烨"</f>
        <v>李佳烨</v>
      </c>
      <c r="E417" s="7" t="str">
        <f>"女"</f>
        <v>女</v>
      </c>
      <c r="F417" s="7" t="str">
        <f>"1997-12-27"</f>
        <v>1997-12-27</v>
      </c>
      <c r="G417" s="6"/>
    </row>
    <row r="418" spans="1:7" ht="30" customHeight="1">
      <c r="A418" s="6">
        <v>416</v>
      </c>
      <c r="B418" s="7" t="str">
        <f>"264320201012002032425"</f>
        <v>264320201012002032425</v>
      </c>
      <c r="C418" s="7" t="s">
        <v>14</v>
      </c>
      <c r="D418" s="7" t="str">
        <f>"吕效考"</f>
        <v>吕效考</v>
      </c>
      <c r="E418" s="7" t="str">
        <f>"女"</f>
        <v>女</v>
      </c>
      <c r="F418" s="7" t="str">
        <f>"1996-03-22"</f>
        <v>1996-03-22</v>
      </c>
      <c r="G418" s="6"/>
    </row>
    <row r="419" spans="1:7" ht="30" customHeight="1">
      <c r="A419" s="6">
        <v>417</v>
      </c>
      <c r="B419" s="7" t="str">
        <f>"264320201012102918441"</f>
        <v>264320201012102918441</v>
      </c>
      <c r="C419" s="7" t="s">
        <v>14</v>
      </c>
      <c r="D419" s="7" t="str">
        <f>"吴昌钊"</f>
        <v>吴昌钊</v>
      </c>
      <c r="E419" s="7" t="str">
        <f>"男"</f>
        <v>男</v>
      </c>
      <c r="F419" s="7" t="str">
        <f>"1998-08-16"</f>
        <v>1998-08-16</v>
      </c>
      <c r="G419" s="6"/>
    </row>
    <row r="420" spans="1:7" ht="30" customHeight="1">
      <c r="A420" s="6">
        <v>418</v>
      </c>
      <c r="B420" s="7" t="str">
        <f>"264320201012111107449"</f>
        <v>264320201012111107449</v>
      </c>
      <c r="C420" s="7" t="s">
        <v>14</v>
      </c>
      <c r="D420" s="7" t="str">
        <f>"刘乐曦"</f>
        <v>刘乐曦</v>
      </c>
      <c r="E420" s="7" t="str">
        <f aca="true" t="shared" si="18" ref="E420:E425">"女"</f>
        <v>女</v>
      </c>
      <c r="F420" s="7" t="str">
        <f>"1999-02-19"</f>
        <v>1999-02-19</v>
      </c>
      <c r="G420" s="6"/>
    </row>
    <row r="421" spans="1:7" ht="30" customHeight="1">
      <c r="A421" s="6">
        <v>419</v>
      </c>
      <c r="B421" s="7" t="str">
        <f>"264320201012114218456"</f>
        <v>264320201012114218456</v>
      </c>
      <c r="C421" s="7" t="s">
        <v>14</v>
      </c>
      <c r="D421" s="7" t="str">
        <f>"苏惠"</f>
        <v>苏惠</v>
      </c>
      <c r="E421" s="7" t="str">
        <f t="shared" si="18"/>
        <v>女</v>
      </c>
      <c r="F421" s="7" t="str">
        <f>"1997-05-03"</f>
        <v>1997-05-03</v>
      </c>
      <c r="G421" s="6"/>
    </row>
    <row r="422" spans="1:7" ht="30" customHeight="1">
      <c r="A422" s="6">
        <v>420</v>
      </c>
      <c r="B422" s="7" t="str">
        <f>"264320201012151110470"</f>
        <v>264320201012151110470</v>
      </c>
      <c r="C422" s="7" t="s">
        <v>14</v>
      </c>
      <c r="D422" s="7" t="str">
        <f>"王桃蕊"</f>
        <v>王桃蕊</v>
      </c>
      <c r="E422" s="7" t="str">
        <f t="shared" si="18"/>
        <v>女</v>
      </c>
      <c r="F422" s="7" t="str">
        <f>"1998-03-11"</f>
        <v>1998-03-11</v>
      </c>
      <c r="G422" s="6"/>
    </row>
    <row r="423" spans="1:7" ht="30" customHeight="1">
      <c r="A423" s="6">
        <v>421</v>
      </c>
      <c r="B423" s="7" t="str">
        <f>"264320201012162556482"</f>
        <v>264320201012162556482</v>
      </c>
      <c r="C423" s="7" t="s">
        <v>14</v>
      </c>
      <c r="D423" s="7" t="str">
        <f>"黎学霁"</f>
        <v>黎学霁</v>
      </c>
      <c r="E423" s="7" t="str">
        <f t="shared" si="18"/>
        <v>女</v>
      </c>
      <c r="F423" s="7" t="str">
        <f>"1997-04-19"</f>
        <v>1997-04-19</v>
      </c>
      <c r="G423" s="6"/>
    </row>
    <row r="424" spans="1:7" ht="30" customHeight="1">
      <c r="A424" s="6">
        <v>422</v>
      </c>
      <c r="B424" s="7" t="str">
        <f>"264320201012180519493"</f>
        <v>264320201012180519493</v>
      </c>
      <c r="C424" s="7" t="s">
        <v>14</v>
      </c>
      <c r="D424" s="7" t="str">
        <f>"符永佳"</f>
        <v>符永佳</v>
      </c>
      <c r="E424" s="7" t="str">
        <f t="shared" si="18"/>
        <v>女</v>
      </c>
      <c r="F424" s="7" t="str">
        <f>"1997-07-12"</f>
        <v>1997-07-12</v>
      </c>
      <c r="G424" s="6"/>
    </row>
    <row r="425" spans="1:7" ht="30" customHeight="1">
      <c r="A425" s="6">
        <v>423</v>
      </c>
      <c r="B425" s="7" t="str">
        <f>"264320201012230227507"</f>
        <v>264320201012230227507</v>
      </c>
      <c r="C425" s="7" t="s">
        <v>14</v>
      </c>
      <c r="D425" s="7" t="str">
        <f>"白文娟"</f>
        <v>白文娟</v>
      </c>
      <c r="E425" s="7" t="str">
        <f t="shared" si="18"/>
        <v>女</v>
      </c>
      <c r="F425" s="7" t="str">
        <f>"1997-01-16"</f>
        <v>1997-01-16</v>
      </c>
      <c r="G425" s="6"/>
    </row>
    <row r="426" spans="1:7" ht="30" customHeight="1">
      <c r="A426" s="6">
        <v>424</v>
      </c>
      <c r="B426" s="7" t="str">
        <f>"264320201012231136510"</f>
        <v>264320201012231136510</v>
      </c>
      <c r="C426" s="7" t="s">
        <v>14</v>
      </c>
      <c r="D426" s="7" t="str">
        <f>"洪光林"</f>
        <v>洪光林</v>
      </c>
      <c r="E426" s="7" t="str">
        <f>"男"</f>
        <v>男</v>
      </c>
      <c r="F426" s="7" t="str">
        <f>"1996-05-20"</f>
        <v>1996-05-20</v>
      </c>
      <c r="G426" s="6"/>
    </row>
    <row r="427" spans="1:7" ht="30" customHeight="1">
      <c r="A427" s="6">
        <v>425</v>
      </c>
      <c r="B427" s="7" t="str">
        <f>"264320201012231909511"</f>
        <v>264320201012231909511</v>
      </c>
      <c r="C427" s="7" t="s">
        <v>14</v>
      </c>
      <c r="D427" s="7" t="str">
        <f>"林圣智"</f>
        <v>林圣智</v>
      </c>
      <c r="E427" s="7" t="str">
        <f>"男"</f>
        <v>男</v>
      </c>
      <c r="F427" s="7" t="str">
        <f>"1994-10-21"</f>
        <v>1994-10-21</v>
      </c>
      <c r="G427" s="6"/>
    </row>
    <row r="428" spans="1:7" ht="30" customHeight="1">
      <c r="A428" s="6">
        <v>426</v>
      </c>
      <c r="B428" s="7" t="str">
        <f>"264320201013001411512"</f>
        <v>264320201013001411512</v>
      </c>
      <c r="C428" s="7" t="s">
        <v>14</v>
      </c>
      <c r="D428" s="7" t="str">
        <f>"羊艳妹"</f>
        <v>羊艳妹</v>
      </c>
      <c r="E428" s="7" t="str">
        <f>"女"</f>
        <v>女</v>
      </c>
      <c r="F428" s="7" t="str">
        <f>"1997-07-07"</f>
        <v>1997-07-07</v>
      </c>
      <c r="G428" s="6"/>
    </row>
    <row r="429" spans="1:7" ht="30" customHeight="1">
      <c r="A429" s="6">
        <v>427</v>
      </c>
      <c r="B429" s="7" t="str">
        <f>"264320201013094821523"</f>
        <v>264320201013094821523</v>
      </c>
      <c r="C429" s="7" t="s">
        <v>14</v>
      </c>
      <c r="D429" s="7" t="str">
        <f>"符秀凤"</f>
        <v>符秀凤</v>
      </c>
      <c r="E429" s="7" t="str">
        <f>"女"</f>
        <v>女</v>
      </c>
      <c r="F429" s="7" t="str">
        <f>"1997-08-15"</f>
        <v>1997-08-15</v>
      </c>
      <c r="G429" s="6"/>
    </row>
    <row r="430" spans="1:7" ht="30" customHeight="1">
      <c r="A430" s="6">
        <v>428</v>
      </c>
      <c r="B430" s="7" t="str">
        <f>"264320201013134732537"</f>
        <v>264320201013134732537</v>
      </c>
      <c r="C430" s="7" t="s">
        <v>14</v>
      </c>
      <c r="D430" s="7" t="str">
        <f>"苏叶子"</f>
        <v>苏叶子</v>
      </c>
      <c r="E430" s="7" t="str">
        <f>"女"</f>
        <v>女</v>
      </c>
      <c r="F430" s="7" t="str">
        <f>"1996-10-22"</f>
        <v>1996-10-22</v>
      </c>
      <c r="G430" s="6"/>
    </row>
    <row r="431" spans="1:7" ht="30" customHeight="1">
      <c r="A431" s="6">
        <v>429</v>
      </c>
      <c r="B431" s="7" t="str">
        <f>"264320201013142519539"</f>
        <v>264320201013142519539</v>
      </c>
      <c r="C431" s="7" t="s">
        <v>14</v>
      </c>
      <c r="D431" s="7" t="str">
        <f>"谢廷健"</f>
        <v>谢廷健</v>
      </c>
      <c r="E431" s="7" t="str">
        <f>"男"</f>
        <v>男</v>
      </c>
      <c r="F431" s="7" t="str">
        <f>"1997-05-01"</f>
        <v>1997-05-01</v>
      </c>
      <c r="G431" s="6"/>
    </row>
    <row r="432" spans="1:7" ht="30" customHeight="1">
      <c r="A432" s="6">
        <v>430</v>
      </c>
      <c r="B432" s="7" t="str">
        <f>"264320201013151358542"</f>
        <v>264320201013151358542</v>
      </c>
      <c r="C432" s="7" t="s">
        <v>14</v>
      </c>
      <c r="D432" s="7" t="str">
        <f>"陈淑金"</f>
        <v>陈淑金</v>
      </c>
      <c r="E432" s="7" t="str">
        <f aca="true" t="shared" si="19" ref="E432:E437">"女"</f>
        <v>女</v>
      </c>
      <c r="F432" s="7" t="str">
        <f>"1998-06-28"</f>
        <v>1998-06-28</v>
      </c>
      <c r="G432" s="6"/>
    </row>
    <row r="433" spans="1:7" ht="30" customHeight="1">
      <c r="A433" s="6">
        <v>431</v>
      </c>
      <c r="B433" s="7" t="str">
        <f>"264320201013161703553"</f>
        <v>264320201013161703553</v>
      </c>
      <c r="C433" s="7" t="s">
        <v>14</v>
      </c>
      <c r="D433" s="7" t="str">
        <f>"覃玮婷"</f>
        <v>覃玮婷</v>
      </c>
      <c r="E433" s="7" t="str">
        <f t="shared" si="19"/>
        <v>女</v>
      </c>
      <c r="F433" s="7" t="str">
        <f>"1997-01-05"</f>
        <v>1997-01-05</v>
      </c>
      <c r="G433" s="6"/>
    </row>
    <row r="434" spans="1:7" ht="30" customHeight="1">
      <c r="A434" s="6">
        <v>432</v>
      </c>
      <c r="B434" s="7" t="str">
        <f>"264320201013173906560"</f>
        <v>264320201013173906560</v>
      </c>
      <c r="C434" s="7" t="s">
        <v>14</v>
      </c>
      <c r="D434" s="7" t="str">
        <f>"赵壮婷"</f>
        <v>赵壮婷</v>
      </c>
      <c r="E434" s="7" t="str">
        <f t="shared" si="19"/>
        <v>女</v>
      </c>
      <c r="F434" s="7" t="str">
        <f>"1996-10-07"</f>
        <v>1996-10-07</v>
      </c>
      <c r="G434" s="6"/>
    </row>
    <row r="435" spans="1:7" ht="30" customHeight="1">
      <c r="A435" s="6">
        <v>433</v>
      </c>
      <c r="B435" s="7" t="str">
        <f>"264320201013211910568"</f>
        <v>264320201013211910568</v>
      </c>
      <c r="C435" s="7" t="s">
        <v>14</v>
      </c>
      <c r="D435" s="7" t="str">
        <f>"付泽倩"</f>
        <v>付泽倩</v>
      </c>
      <c r="E435" s="7" t="str">
        <f t="shared" si="19"/>
        <v>女</v>
      </c>
      <c r="F435" s="7" t="str">
        <f>"1995-08-21"</f>
        <v>1995-08-21</v>
      </c>
      <c r="G435" s="6"/>
    </row>
    <row r="436" spans="1:7" ht="30" customHeight="1">
      <c r="A436" s="6">
        <v>434</v>
      </c>
      <c r="B436" s="7" t="str">
        <f>"264320201014085701583"</f>
        <v>264320201014085701583</v>
      </c>
      <c r="C436" s="7" t="s">
        <v>14</v>
      </c>
      <c r="D436" s="7" t="str">
        <f>"张巧灵"</f>
        <v>张巧灵</v>
      </c>
      <c r="E436" s="7" t="str">
        <f t="shared" si="19"/>
        <v>女</v>
      </c>
      <c r="F436" s="7" t="str">
        <f>"1996-08-13"</f>
        <v>1996-08-13</v>
      </c>
      <c r="G436" s="6"/>
    </row>
    <row r="437" spans="1:7" ht="30" customHeight="1">
      <c r="A437" s="6">
        <v>435</v>
      </c>
      <c r="B437" s="7" t="str">
        <f>"264320201014105827589"</f>
        <v>264320201014105827589</v>
      </c>
      <c r="C437" s="7" t="s">
        <v>14</v>
      </c>
      <c r="D437" s="7" t="str">
        <f>"郑精娥"</f>
        <v>郑精娥</v>
      </c>
      <c r="E437" s="7" t="str">
        <f t="shared" si="19"/>
        <v>女</v>
      </c>
      <c r="F437" s="7" t="str">
        <f>"1997-11-14"</f>
        <v>1997-11-14</v>
      </c>
      <c r="G437" s="6"/>
    </row>
    <row r="438" spans="1:7" ht="30" customHeight="1">
      <c r="A438" s="6">
        <v>436</v>
      </c>
      <c r="B438" s="7" t="str">
        <f>"264320201014151901607"</f>
        <v>264320201014151901607</v>
      </c>
      <c r="C438" s="7" t="s">
        <v>14</v>
      </c>
      <c r="D438" s="7" t="str">
        <f>"李邦可"</f>
        <v>李邦可</v>
      </c>
      <c r="E438" s="7" t="str">
        <f>"男"</f>
        <v>男</v>
      </c>
      <c r="F438" s="7" t="str">
        <f>"1997-02-24"</f>
        <v>1997-02-24</v>
      </c>
      <c r="G438" s="6"/>
    </row>
    <row r="439" spans="1:7" ht="30" customHeight="1">
      <c r="A439" s="6">
        <v>437</v>
      </c>
      <c r="B439" s="7" t="str">
        <f>"264320201014155953610"</f>
        <v>264320201014155953610</v>
      </c>
      <c r="C439" s="7" t="s">
        <v>14</v>
      </c>
      <c r="D439" s="7" t="str">
        <f>"戴一鸣"</f>
        <v>戴一鸣</v>
      </c>
      <c r="E439" s="7" t="str">
        <f aca="true" t="shared" si="20" ref="E439:E449">"女"</f>
        <v>女</v>
      </c>
      <c r="F439" s="7" t="str">
        <f>"1997-12-23"</f>
        <v>1997-12-23</v>
      </c>
      <c r="G439" s="6"/>
    </row>
    <row r="440" spans="1:7" ht="30" customHeight="1">
      <c r="A440" s="6">
        <v>438</v>
      </c>
      <c r="B440" s="7" t="str">
        <f>"264320201014163227614"</f>
        <v>264320201014163227614</v>
      </c>
      <c r="C440" s="7" t="s">
        <v>14</v>
      </c>
      <c r="D440" s="7" t="str">
        <f>"符西西"</f>
        <v>符西西</v>
      </c>
      <c r="E440" s="7" t="str">
        <f t="shared" si="20"/>
        <v>女</v>
      </c>
      <c r="F440" s="7" t="str">
        <f>"1998-08-13"</f>
        <v>1998-08-13</v>
      </c>
      <c r="G440" s="6"/>
    </row>
    <row r="441" spans="1:7" ht="30" customHeight="1">
      <c r="A441" s="6">
        <v>439</v>
      </c>
      <c r="B441" s="7" t="str">
        <f>"264320201014170351618"</f>
        <v>264320201014170351618</v>
      </c>
      <c r="C441" s="7" t="s">
        <v>14</v>
      </c>
      <c r="D441" s="7" t="str">
        <f>"文恣燕"</f>
        <v>文恣燕</v>
      </c>
      <c r="E441" s="7" t="str">
        <f t="shared" si="20"/>
        <v>女</v>
      </c>
      <c r="F441" s="7" t="str">
        <f>"1997-10-07"</f>
        <v>1997-10-07</v>
      </c>
      <c r="G441" s="6"/>
    </row>
    <row r="442" spans="1:7" ht="30" customHeight="1">
      <c r="A442" s="6">
        <v>440</v>
      </c>
      <c r="B442" s="7" t="str">
        <f>"264320201014212104631"</f>
        <v>264320201014212104631</v>
      </c>
      <c r="C442" s="7" t="s">
        <v>14</v>
      </c>
      <c r="D442" s="7" t="str">
        <f>"许还方"</f>
        <v>许还方</v>
      </c>
      <c r="E442" s="7" t="str">
        <f t="shared" si="20"/>
        <v>女</v>
      </c>
      <c r="F442" s="7" t="str">
        <f>"1997-09-12"</f>
        <v>1997-09-12</v>
      </c>
      <c r="G442" s="6"/>
    </row>
    <row r="443" spans="1:7" ht="30" customHeight="1">
      <c r="A443" s="6">
        <v>441</v>
      </c>
      <c r="B443" s="7" t="str">
        <f>"264320201015085742644"</f>
        <v>264320201015085742644</v>
      </c>
      <c r="C443" s="7" t="s">
        <v>14</v>
      </c>
      <c r="D443" s="7" t="str">
        <f>"王韵惠"</f>
        <v>王韵惠</v>
      </c>
      <c r="E443" s="7" t="str">
        <f t="shared" si="20"/>
        <v>女</v>
      </c>
      <c r="F443" s="7" t="str">
        <f>"1998-08-30"</f>
        <v>1998-08-30</v>
      </c>
      <c r="G443" s="6"/>
    </row>
    <row r="444" spans="1:7" ht="30" customHeight="1">
      <c r="A444" s="6">
        <v>442</v>
      </c>
      <c r="B444" s="7" t="str">
        <f>"264320201015095400647"</f>
        <v>264320201015095400647</v>
      </c>
      <c r="C444" s="7" t="s">
        <v>14</v>
      </c>
      <c r="D444" s="7" t="str">
        <f>"麦霖霞"</f>
        <v>麦霖霞</v>
      </c>
      <c r="E444" s="7" t="str">
        <f t="shared" si="20"/>
        <v>女</v>
      </c>
      <c r="F444" s="7" t="str">
        <f>"1995-12-18"</f>
        <v>1995-12-18</v>
      </c>
      <c r="G444" s="6"/>
    </row>
    <row r="445" spans="1:7" ht="30" customHeight="1">
      <c r="A445" s="6">
        <v>443</v>
      </c>
      <c r="B445" s="7" t="str">
        <f>"264320201015132409657"</f>
        <v>264320201015132409657</v>
      </c>
      <c r="C445" s="7" t="s">
        <v>14</v>
      </c>
      <c r="D445" s="7" t="str">
        <f>"陈薇夷"</f>
        <v>陈薇夷</v>
      </c>
      <c r="E445" s="7" t="str">
        <f t="shared" si="20"/>
        <v>女</v>
      </c>
      <c r="F445" s="7" t="str">
        <f>"1998-09-15"</f>
        <v>1998-09-15</v>
      </c>
      <c r="G445" s="6"/>
    </row>
    <row r="446" spans="1:7" ht="30" customHeight="1">
      <c r="A446" s="6">
        <v>444</v>
      </c>
      <c r="B446" s="7" t="str">
        <f>"264320201015143912660"</f>
        <v>264320201015143912660</v>
      </c>
      <c r="C446" s="7" t="s">
        <v>14</v>
      </c>
      <c r="D446" s="7" t="str">
        <f>"文莉"</f>
        <v>文莉</v>
      </c>
      <c r="E446" s="7" t="str">
        <f t="shared" si="20"/>
        <v>女</v>
      </c>
      <c r="F446" s="7" t="str">
        <f>"1999-02-07"</f>
        <v>1999-02-07</v>
      </c>
      <c r="G446" s="6"/>
    </row>
    <row r="447" spans="1:7" ht="30" customHeight="1">
      <c r="A447" s="6">
        <v>445</v>
      </c>
      <c r="B447" s="7" t="str">
        <f>"264320201015150451662"</f>
        <v>264320201015150451662</v>
      </c>
      <c r="C447" s="7" t="s">
        <v>14</v>
      </c>
      <c r="D447" s="7" t="str">
        <f>"李晓琪"</f>
        <v>李晓琪</v>
      </c>
      <c r="E447" s="7" t="str">
        <f t="shared" si="20"/>
        <v>女</v>
      </c>
      <c r="F447" s="7" t="str">
        <f>"1998-03-28"</f>
        <v>1998-03-28</v>
      </c>
      <c r="G447" s="6"/>
    </row>
    <row r="448" spans="1:7" ht="30" customHeight="1">
      <c r="A448" s="6">
        <v>446</v>
      </c>
      <c r="B448" s="7" t="str">
        <f>"264320201015193000677"</f>
        <v>264320201015193000677</v>
      </c>
      <c r="C448" s="7" t="s">
        <v>14</v>
      </c>
      <c r="D448" s="7" t="str">
        <f>"陈照楠"</f>
        <v>陈照楠</v>
      </c>
      <c r="E448" s="7" t="str">
        <f t="shared" si="20"/>
        <v>女</v>
      </c>
      <c r="F448" s="7" t="str">
        <f>"1996-04-29"</f>
        <v>1996-04-29</v>
      </c>
      <c r="G448" s="6"/>
    </row>
    <row r="449" spans="1:7" ht="30" customHeight="1">
      <c r="A449" s="6">
        <v>447</v>
      </c>
      <c r="B449" s="7" t="str">
        <f>"264320201015200016681"</f>
        <v>264320201015200016681</v>
      </c>
      <c r="C449" s="7" t="s">
        <v>14</v>
      </c>
      <c r="D449" s="7" t="str">
        <f>"郑媛心"</f>
        <v>郑媛心</v>
      </c>
      <c r="E449" s="7" t="str">
        <f t="shared" si="20"/>
        <v>女</v>
      </c>
      <c r="F449" s="7" t="str">
        <f>"1996-03-08"</f>
        <v>1996-03-08</v>
      </c>
      <c r="G449" s="6"/>
    </row>
    <row r="450" spans="1:7" ht="30" customHeight="1">
      <c r="A450" s="6">
        <v>448</v>
      </c>
      <c r="B450" s="7" t="str">
        <f>"264320201016154620704"</f>
        <v>264320201016154620704</v>
      </c>
      <c r="C450" s="7" t="s">
        <v>14</v>
      </c>
      <c r="D450" s="7" t="str">
        <f>"雷扬"</f>
        <v>雷扬</v>
      </c>
      <c r="E450" s="7" t="str">
        <f>"男"</f>
        <v>男</v>
      </c>
      <c r="F450" s="7" t="str">
        <f>"1998-02-25"</f>
        <v>1998-02-25</v>
      </c>
      <c r="G450" s="6"/>
    </row>
    <row r="451" spans="1:7" ht="30" customHeight="1">
      <c r="A451" s="6">
        <v>449</v>
      </c>
      <c r="B451" s="7" t="str">
        <f>"264320201016211442714"</f>
        <v>264320201016211442714</v>
      </c>
      <c r="C451" s="7" t="s">
        <v>14</v>
      </c>
      <c r="D451" s="7" t="str">
        <f>"邢维阳"</f>
        <v>邢维阳</v>
      </c>
      <c r="E451" s="7" t="str">
        <f>"女"</f>
        <v>女</v>
      </c>
      <c r="F451" s="7" t="str">
        <f>"1997-10-09"</f>
        <v>1997-10-09</v>
      </c>
      <c r="G451" s="6"/>
    </row>
    <row r="452" spans="1:7" ht="30" customHeight="1">
      <c r="A452" s="6">
        <v>450</v>
      </c>
      <c r="B452" s="7" t="str">
        <f>"264320201016213020715"</f>
        <v>264320201016213020715</v>
      </c>
      <c r="C452" s="7" t="s">
        <v>14</v>
      </c>
      <c r="D452" s="7" t="str">
        <f>"邱名龙"</f>
        <v>邱名龙</v>
      </c>
      <c r="E452" s="7" t="str">
        <f>"男"</f>
        <v>男</v>
      </c>
      <c r="F452" s="7" t="str">
        <f>"1995-03-08"</f>
        <v>1995-03-08</v>
      </c>
      <c r="G452" s="6"/>
    </row>
    <row r="453" spans="1:7" ht="30" customHeight="1">
      <c r="A453" s="6">
        <v>451</v>
      </c>
      <c r="B453" s="7" t="str">
        <f>"264320201016231542717"</f>
        <v>264320201016231542717</v>
      </c>
      <c r="C453" s="7" t="s">
        <v>14</v>
      </c>
      <c r="D453" s="7" t="str">
        <f>"梁秋月"</f>
        <v>梁秋月</v>
      </c>
      <c r="E453" s="7" t="str">
        <f aca="true" t="shared" si="21" ref="E453:E458">"女"</f>
        <v>女</v>
      </c>
      <c r="F453" s="7" t="str">
        <f>"1998-08-08"</f>
        <v>1998-08-08</v>
      </c>
      <c r="G453" s="6"/>
    </row>
    <row r="454" spans="1:7" ht="30" customHeight="1">
      <c r="A454" s="6">
        <v>452</v>
      </c>
      <c r="B454" s="7" t="str">
        <f>"264320201017094205719"</f>
        <v>264320201017094205719</v>
      </c>
      <c r="C454" s="7" t="s">
        <v>14</v>
      </c>
      <c r="D454" s="7" t="str">
        <f>"董小雪"</f>
        <v>董小雪</v>
      </c>
      <c r="E454" s="7" t="str">
        <f t="shared" si="21"/>
        <v>女</v>
      </c>
      <c r="F454" s="7" t="str">
        <f>"1998-04-06"</f>
        <v>1998-04-06</v>
      </c>
      <c r="G454" s="6"/>
    </row>
    <row r="455" spans="1:7" ht="30" customHeight="1">
      <c r="A455" s="6">
        <v>453</v>
      </c>
      <c r="B455" s="7" t="str">
        <f>"264320201017161454727"</f>
        <v>264320201017161454727</v>
      </c>
      <c r="C455" s="7" t="s">
        <v>14</v>
      </c>
      <c r="D455" s="7" t="str">
        <f>"武梦璇"</f>
        <v>武梦璇</v>
      </c>
      <c r="E455" s="7" t="str">
        <f t="shared" si="21"/>
        <v>女</v>
      </c>
      <c r="F455" s="7" t="str">
        <f>"1997-04-13"</f>
        <v>1997-04-13</v>
      </c>
      <c r="G455" s="6"/>
    </row>
    <row r="456" spans="1:7" ht="30" customHeight="1">
      <c r="A456" s="6">
        <v>454</v>
      </c>
      <c r="B456" s="7" t="str">
        <f>"264320201017174317729"</f>
        <v>264320201017174317729</v>
      </c>
      <c r="C456" s="7" t="s">
        <v>14</v>
      </c>
      <c r="D456" s="7" t="str">
        <f>"蔡婷婷"</f>
        <v>蔡婷婷</v>
      </c>
      <c r="E456" s="7" t="str">
        <f t="shared" si="21"/>
        <v>女</v>
      </c>
      <c r="F456" s="7" t="str">
        <f>"1999-06-07"</f>
        <v>1999-06-07</v>
      </c>
      <c r="G456" s="6"/>
    </row>
    <row r="457" spans="1:7" ht="30" customHeight="1">
      <c r="A457" s="6">
        <v>455</v>
      </c>
      <c r="B457" s="7" t="str">
        <f>"264320201017205339736"</f>
        <v>264320201017205339736</v>
      </c>
      <c r="C457" s="7" t="s">
        <v>14</v>
      </c>
      <c r="D457" s="7" t="str">
        <f>"吴祯莉"</f>
        <v>吴祯莉</v>
      </c>
      <c r="E457" s="7" t="str">
        <f t="shared" si="21"/>
        <v>女</v>
      </c>
      <c r="F457" s="7" t="str">
        <f>"1997-02-14"</f>
        <v>1997-02-14</v>
      </c>
      <c r="G457" s="6"/>
    </row>
    <row r="458" spans="1:7" ht="30" customHeight="1">
      <c r="A458" s="6">
        <v>456</v>
      </c>
      <c r="B458" s="7" t="str">
        <f>"264320201017221900740"</f>
        <v>264320201017221900740</v>
      </c>
      <c r="C458" s="7" t="s">
        <v>14</v>
      </c>
      <c r="D458" s="7" t="str">
        <f>"刘璐"</f>
        <v>刘璐</v>
      </c>
      <c r="E458" s="7" t="str">
        <f t="shared" si="21"/>
        <v>女</v>
      </c>
      <c r="F458" s="7" t="str">
        <f>"1998-10-23"</f>
        <v>1998-10-23</v>
      </c>
      <c r="G458" s="6"/>
    </row>
    <row r="459" spans="1:7" ht="30" customHeight="1">
      <c r="A459" s="6">
        <v>457</v>
      </c>
      <c r="B459" s="7" t="str">
        <f>"264320201018145943755"</f>
        <v>264320201018145943755</v>
      </c>
      <c r="C459" s="7" t="s">
        <v>14</v>
      </c>
      <c r="D459" s="7" t="str">
        <f>"金超华"</f>
        <v>金超华</v>
      </c>
      <c r="E459" s="7" t="str">
        <f>"男"</f>
        <v>男</v>
      </c>
      <c r="F459" s="7" t="str">
        <f>"1997-01-21"</f>
        <v>1997-01-21</v>
      </c>
      <c r="G459" s="6"/>
    </row>
    <row r="460" spans="1:7" ht="30" customHeight="1">
      <c r="A460" s="6">
        <v>458</v>
      </c>
      <c r="B460" s="7" t="str">
        <f>"264320201019094357793"</f>
        <v>264320201019094357793</v>
      </c>
      <c r="C460" s="7" t="s">
        <v>14</v>
      </c>
      <c r="D460" s="7" t="str">
        <f>"谭淑丹"</f>
        <v>谭淑丹</v>
      </c>
      <c r="E460" s="7" t="str">
        <f>"女"</f>
        <v>女</v>
      </c>
      <c r="F460" s="7" t="str">
        <f>"1998-09-09"</f>
        <v>1998-09-09</v>
      </c>
      <c r="G460" s="6"/>
    </row>
    <row r="461" spans="1:7" ht="30" customHeight="1">
      <c r="A461" s="6">
        <v>459</v>
      </c>
      <c r="B461" s="7" t="str">
        <f>"264320201019114824806"</f>
        <v>264320201019114824806</v>
      </c>
      <c r="C461" s="7" t="s">
        <v>14</v>
      </c>
      <c r="D461" s="7" t="str">
        <f>"倪可可"</f>
        <v>倪可可</v>
      </c>
      <c r="E461" s="7" t="str">
        <f>"女"</f>
        <v>女</v>
      </c>
      <c r="F461" s="7" t="str">
        <f>"1997-12-03"</f>
        <v>1997-12-03</v>
      </c>
      <c r="G461" s="6"/>
    </row>
    <row r="462" spans="1:7" ht="30" customHeight="1">
      <c r="A462" s="6">
        <v>460</v>
      </c>
      <c r="B462" s="7" t="str">
        <f>"264320201019131815821"</f>
        <v>264320201019131815821</v>
      </c>
      <c r="C462" s="7" t="s">
        <v>14</v>
      </c>
      <c r="D462" s="7" t="str">
        <f>"陈宏梅"</f>
        <v>陈宏梅</v>
      </c>
      <c r="E462" s="7" t="str">
        <f>"女"</f>
        <v>女</v>
      </c>
      <c r="F462" s="7" t="str">
        <f>"1993-10-29"</f>
        <v>1993-10-29</v>
      </c>
      <c r="G462" s="6"/>
    </row>
    <row r="463" spans="1:7" ht="30" customHeight="1">
      <c r="A463" s="6">
        <v>461</v>
      </c>
      <c r="B463" s="7" t="str">
        <f>"264320201019134428823"</f>
        <v>264320201019134428823</v>
      </c>
      <c r="C463" s="7" t="s">
        <v>14</v>
      </c>
      <c r="D463" s="7" t="str">
        <f>"卿晨"</f>
        <v>卿晨</v>
      </c>
      <c r="E463" s="7" t="str">
        <f>"女"</f>
        <v>女</v>
      </c>
      <c r="F463" s="7" t="str">
        <f>"1998-08-24"</f>
        <v>1998-08-24</v>
      </c>
      <c r="G463" s="6"/>
    </row>
    <row r="464" spans="1:7" ht="30" customHeight="1">
      <c r="A464" s="6">
        <v>462</v>
      </c>
      <c r="B464" s="7" t="str">
        <f>"264320201019141707825"</f>
        <v>264320201019141707825</v>
      </c>
      <c r="C464" s="7" t="s">
        <v>14</v>
      </c>
      <c r="D464" s="7" t="str">
        <f>"陈小艺"</f>
        <v>陈小艺</v>
      </c>
      <c r="E464" s="7" t="str">
        <f>"女"</f>
        <v>女</v>
      </c>
      <c r="F464" s="7" t="str">
        <f>"1996-12-21"</f>
        <v>1996-12-21</v>
      </c>
      <c r="G464" s="6"/>
    </row>
    <row r="465" spans="1:7" ht="30" customHeight="1">
      <c r="A465" s="6">
        <v>463</v>
      </c>
      <c r="B465" s="7" t="str">
        <f>"264320201019151740830"</f>
        <v>264320201019151740830</v>
      </c>
      <c r="C465" s="7" t="s">
        <v>14</v>
      </c>
      <c r="D465" s="7" t="str">
        <f>"陈伟杰"</f>
        <v>陈伟杰</v>
      </c>
      <c r="E465" s="7" t="str">
        <f>"男"</f>
        <v>男</v>
      </c>
      <c r="F465" s="7" t="str">
        <f>"1997-08-29"</f>
        <v>1997-08-29</v>
      </c>
      <c r="G465" s="6"/>
    </row>
    <row r="466" spans="1:7" ht="30" customHeight="1">
      <c r="A466" s="6">
        <v>464</v>
      </c>
      <c r="B466" s="7" t="str">
        <f>"264320201019153416834"</f>
        <v>264320201019153416834</v>
      </c>
      <c r="C466" s="7" t="s">
        <v>14</v>
      </c>
      <c r="D466" s="7" t="str">
        <f>"孙学新"</f>
        <v>孙学新</v>
      </c>
      <c r="E466" s="7" t="str">
        <f>"男"</f>
        <v>男</v>
      </c>
      <c r="F466" s="7" t="str">
        <f>"1995-10-09"</f>
        <v>1995-10-09</v>
      </c>
      <c r="G466" s="6"/>
    </row>
    <row r="467" spans="1:7" ht="30" customHeight="1">
      <c r="A467" s="6">
        <v>465</v>
      </c>
      <c r="B467" s="7" t="str">
        <f>"264320201019174911850"</f>
        <v>264320201019174911850</v>
      </c>
      <c r="C467" s="7" t="s">
        <v>14</v>
      </c>
      <c r="D467" s="7" t="str">
        <f>"潘青叶"</f>
        <v>潘青叶</v>
      </c>
      <c r="E467" s="7" t="str">
        <f>"女"</f>
        <v>女</v>
      </c>
      <c r="F467" s="7" t="str">
        <f>"1995-09-06"</f>
        <v>1995-09-06</v>
      </c>
      <c r="G467" s="6"/>
    </row>
    <row r="468" spans="1:7" ht="30" customHeight="1">
      <c r="A468" s="6">
        <v>466</v>
      </c>
      <c r="B468" s="7" t="str">
        <f>"264320201019175203851"</f>
        <v>264320201019175203851</v>
      </c>
      <c r="C468" s="7" t="s">
        <v>14</v>
      </c>
      <c r="D468" s="7" t="str">
        <f>"邓小夏"</f>
        <v>邓小夏</v>
      </c>
      <c r="E468" s="7" t="str">
        <f>"女"</f>
        <v>女</v>
      </c>
      <c r="F468" s="7" t="str">
        <f>"1996-10-21"</f>
        <v>1996-10-21</v>
      </c>
      <c r="G468" s="6"/>
    </row>
    <row r="469" spans="1:7" ht="30" customHeight="1">
      <c r="A469" s="6">
        <v>467</v>
      </c>
      <c r="B469" s="7" t="str">
        <f>"264320201019190508856"</f>
        <v>264320201019190508856</v>
      </c>
      <c r="C469" s="7" t="s">
        <v>14</v>
      </c>
      <c r="D469" s="7" t="str">
        <f>"黄志远"</f>
        <v>黄志远</v>
      </c>
      <c r="E469" s="7" t="str">
        <f>"男"</f>
        <v>男</v>
      </c>
      <c r="F469" s="7" t="str">
        <f>"1997-09-16"</f>
        <v>1997-09-16</v>
      </c>
      <c r="G469" s="6"/>
    </row>
    <row r="470" spans="1:7" ht="30" customHeight="1">
      <c r="A470" s="6">
        <v>468</v>
      </c>
      <c r="B470" s="7" t="str">
        <f>"264320201019203248868"</f>
        <v>264320201019203248868</v>
      </c>
      <c r="C470" s="7" t="s">
        <v>14</v>
      </c>
      <c r="D470" s="7" t="str">
        <f>"王敏"</f>
        <v>王敏</v>
      </c>
      <c r="E470" s="7" t="str">
        <f>"女"</f>
        <v>女</v>
      </c>
      <c r="F470" s="7" t="str">
        <f>"1994-10-19"</f>
        <v>1994-10-19</v>
      </c>
      <c r="G470" s="6"/>
    </row>
    <row r="471" spans="1:7" ht="30" customHeight="1">
      <c r="A471" s="6">
        <v>469</v>
      </c>
      <c r="B471" s="7" t="str">
        <f>"264320201019213429874"</f>
        <v>264320201019213429874</v>
      </c>
      <c r="C471" s="7" t="s">
        <v>14</v>
      </c>
      <c r="D471" s="7" t="str">
        <f>"张可欣"</f>
        <v>张可欣</v>
      </c>
      <c r="E471" s="7" t="str">
        <f>"女"</f>
        <v>女</v>
      </c>
      <c r="F471" s="7" t="str">
        <f>"1997-09-23"</f>
        <v>1997-09-23</v>
      </c>
      <c r="G471" s="6"/>
    </row>
    <row r="472" spans="1:7" ht="30" customHeight="1">
      <c r="A472" s="6">
        <v>470</v>
      </c>
      <c r="B472" s="7" t="str">
        <f>"264320201019224617881"</f>
        <v>264320201019224617881</v>
      </c>
      <c r="C472" s="7" t="s">
        <v>14</v>
      </c>
      <c r="D472" s="7" t="str">
        <f>"林云浩"</f>
        <v>林云浩</v>
      </c>
      <c r="E472" s="7" t="str">
        <f>"男"</f>
        <v>男</v>
      </c>
      <c r="F472" s="7" t="str">
        <f>"1997-09-09"</f>
        <v>1997-09-09</v>
      </c>
      <c r="G472" s="6"/>
    </row>
    <row r="473" spans="1:7" ht="30" customHeight="1">
      <c r="A473" s="6">
        <v>471</v>
      </c>
      <c r="B473" s="7" t="str">
        <f>"264320201020005456891"</f>
        <v>264320201020005456891</v>
      </c>
      <c r="C473" s="7" t="s">
        <v>14</v>
      </c>
      <c r="D473" s="7" t="str">
        <f>"郑霖刚"</f>
        <v>郑霖刚</v>
      </c>
      <c r="E473" s="7" t="str">
        <f>"男"</f>
        <v>男</v>
      </c>
      <c r="F473" s="7" t="str">
        <f>"1996-12-28"</f>
        <v>1996-12-28</v>
      </c>
      <c r="G473" s="6"/>
    </row>
    <row r="474" spans="1:7" ht="30" customHeight="1">
      <c r="A474" s="6">
        <v>472</v>
      </c>
      <c r="B474" s="7" t="str">
        <f>"264320201020093410897"</f>
        <v>264320201020093410897</v>
      </c>
      <c r="C474" s="7" t="s">
        <v>14</v>
      </c>
      <c r="D474" s="7" t="str">
        <f>"王淼"</f>
        <v>王淼</v>
      </c>
      <c r="E474" s="7" t="str">
        <f>"女"</f>
        <v>女</v>
      </c>
      <c r="F474" s="7" t="str">
        <f>"1997-05-15"</f>
        <v>1997-05-15</v>
      </c>
      <c r="G474" s="6"/>
    </row>
    <row r="475" spans="1:7" ht="30" customHeight="1">
      <c r="A475" s="6">
        <v>473</v>
      </c>
      <c r="B475" s="7" t="str">
        <f>"264320201020095745900"</f>
        <v>264320201020095745900</v>
      </c>
      <c r="C475" s="7" t="s">
        <v>14</v>
      </c>
      <c r="D475" s="7" t="str">
        <f>"孙圆圆"</f>
        <v>孙圆圆</v>
      </c>
      <c r="E475" s="7" t="str">
        <f>"女"</f>
        <v>女</v>
      </c>
      <c r="F475" s="7" t="str">
        <f>"1996-06-19"</f>
        <v>1996-06-19</v>
      </c>
      <c r="G475" s="6"/>
    </row>
    <row r="476" spans="1:7" ht="30" customHeight="1">
      <c r="A476" s="6">
        <v>474</v>
      </c>
      <c r="B476" s="7" t="str">
        <f>"264320201020123623922"</f>
        <v>264320201020123623922</v>
      </c>
      <c r="C476" s="7" t="s">
        <v>14</v>
      </c>
      <c r="D476" s="7" t="str">
        <f>"王珊珊"</f>
        <v>王珊珊</v>
      </c>
      <c r="E476" s="7" t="str">
        <f>"女"</f>
        <v>女</v>
      </c>
      <c r="F476" s="7" t="str">
        <f>"1998-10-22"</f>
        <v>1998-10-22</v>
      </c>
      <c r="G476" s="6"/>
    </row>
    <row r="477" spans="1:7" ht="30" customHeight="1">
      <c r="A477" s="6">
        <v>475</v>
      </c>
      <c r="B477" s="7" t="str">
        <f>"264320201020132222925"</f>
        <v>264320201020132222925</v>
      </c>
      <c r="C477" s="7" t="s">
        <v>14</v>
      </c>
      <c r="D477" s="7" t="str">
        <f>"符孔帅"</f>
        <v>符孔帅</v>
      </c>
      <c r="E477" s="7" t="str">
        <f>"男"</f>
        <v>男</v>
      </c>
      <c r="F477" s="7" t="str">
        <f>"1996-09-27"</f>
        <v>1996-09-27</v>
      </c>
      <c r="G477" s="6"/>
    </row>
    <row r="478" spans="1:7" ht="30" customHeight="1">
      <c r="A478" s="6">
        <v>476</v>
      </c>
      <c r="B478" s="7" t="str">
        <f>"264320201020134544927"</f>
        <v>264320201020134544927</v>
      </c>
      <c r="C478" s="7" t="s">
        <v>14</v>
      </c>
      <c r="D478" s="7" t="str">
        <f>"王静纯"</f>
        <v>王静纯</v>
      </c>
      <c r="E478" s="7" t="str">
        <f>"女"</f>
        <v>女</v>
      </c>
      <c r="F478" s="7" t="str">
        <f>"2000-10-07"</f>
        <v>2000-10-07</v>
      </c>
      <c r="G478" s="6"/>
    </row>
    <row r="479" spans="1:7" ht="30" customHeight="1">
      <c r="A479" s="6">
        <v>477</v>
      </c>
      <c r="B479" s="7" t="str">
        <f>"264320201020140022931"</f>
        <v>264320201020140022931</v>
      </c>
      <c r="C479" s="7" t="s">
        <v>14</v>
      </c>
      <c r="D479" s="7" t="str">
        <f>"邓荣"</f>
        <v>邓荣</v>
      </c>
      <c r="E479" s="7" t="str">
        <f>"女"</f>
        <v>女</v>
      </c>
      <c r="F479" s="7" t="str">
        <f>"1996-09-08"</f>
        <v>1996-09-08</v>
      </c>
      <c r="G479" s="6"/>
    </row>
    <row r="480" spans="1:7" ht="30" customHeight="1">
      <c r="A480" s="6">
        <v>478</v>
      </c>
      <c r="B480" s="7" t="str">
        <f>"264320201020142422935"</f>
        <v>264320201020142422935</v>
      </c>
      <c r="C480" s="7" t="s">
        <v>14</v>
      </c>
      <c r="D480" s="7" t="str">
        <f>"蔡丰肖"</f>
        <v>蔡丰肖</v>
      </c>
      <c r="E480" s="7" t="str">
        <f>"男"</f>
        <v>男</v>
      </c>
      <c r="F480" s="7" t="str">
        <f>"1997-06-20"</f>
        <v>1997-06-20</v>
      </c>
      <c r="G480" s="6"/>
    </row>
    <row r="481" spans="1:7" ht="30" customHeight="1">
      <c r="A481" s="6">
        <v>479</v>
      </c>
      <c r="B481" s="7" t="str">
        <f>"264320201020150127938"</f>
        <v>264320201020150127938</v>
      </c>
      <c r="C481" s="7" t="s">
        <v>14</v>
      </c>
      <c r="D481" s="7" t="str">
        <f>"陈国庆"</f>
        <v>陈国庆</v>
      </c>
      <c r="E481" s="7" t="str">
        <f aca="true" t="shared" si="22" ref="E481:E487">"女"</f>
        <v>女</v>
      </c>
      <c r="F481" s="7" t="str">
        <f>"1998-10-01"</f>
        <v>1998-10-01</v>
      </c>
      <c r="G481" s="6"/>
    </row>
    <row r="482" spans="1:7" ht="30" customHeight="1">
      <c r="A482" s="6">
        <v>480</v>
      </c>
      <c r="B482" s="7" t="str">
        <f>"264320201009174129167"</f>
        <v>264320201009174129167</v>
      </c>
      <c r="C482" s="7" t="s">
        <v>15</v>
      </c>
      <c r="D482" s="7" t="str">
        <f>"董佩佩"</f>
        <v>董佩佩</v>
      </c>
      <c r="E482" s="7" t="str">
        <f t="shared" si="22"/>
        <v>女</v>
      </c>
      <c r="F482" s="7" t="str">
        <f>"1994-04-28"</f>
        <v>1994-04-28</v>
      </c>
      <c r="G482" s="6"/>
    </row>
    <row r="483" spans="1:7" ht="30" customHeight="1">
      <c r="A483" s="6">
        <v>481</v>
      </c>
      <c r="B483" s="7" t="str">
        <f>"264320201009182709179"</f>
        <v>264320201009182709179</v>
      </c>
      <c r="C483" s="7" t="s">
        <v>15</v>
      </c>
      <c r="D483" s="7" t="str">
        <f>"莫明玉"</f>
        <v>莫明玉</v>
      </c>
      <c r="E483" s="7" t="str">
        <f t="shared" si="22"/>
        <v>女</v>
      </c>
      <c r="F483" s="7" t="str">
        <f>"1997-07-10"</f>
        <v>1997-07-10</v>
      </c>
      <c r="G483" s="6"/>
    </row>
    <row r="484" spans="1:7" ht="30" customHeight="1">
      <c r="A484" s="6">
        <v>482</v>
      </c>
      <c r="B484" s="7" t="str">
        <f>"264320201010144721301"</f>
        <v>264320201010144721301</v>
      </c>
      <c r="C484" s="7" t="s">
        <v>15</v>
      </c>
      <c r="D484" s="7" t="str">
        <f>"颜业美"</f>
        <v>颜业美</v>
      </c>
      <c r="E484" s="7" t="str">
        <f t="shared" si="22"/>
        <v>女</v>
      </c>
      <c r="F484" s="7" t="str">
        <f>"1997-08-31"</f>
        <v>1997-08-31</v>
      </c>
      <c r="G484" s="6"/>
    </row>
    <row r="485" spans="1:7" ht="30" customHeight="1">
      <c r="A485" s="6">
        <v>483</v>
      </c>
      <c r="B485" s="7" t="str">
        <f>"264320201018101243745"</f>
        <v>264320201018101243745</v>
      </c>
      <c r="C485" s="7" t="s">
        <v>15</v>
      </c>
      <c r="D485" s="7" t="str">
        <f>"黄妹"</f>
        <v>黄妹</v>
      </c>
      <c r="E485" s="7" t="str">
        <f t="shared" si="22"/>
        <v>女</v>
      </c>
      <c r="F485" s="7" t="str">
        <f>"1997-09-26"</f>
        <v>1997-09-26</v>
      </c>
      <c r="G485" s="6"/>
    </row>
    <row r="486" spans="1:7" ht="30" customHeight="1">
      <c r="A486" s="6">
        <v>484</v>
      </c>
      <c r="B486" s="7" t="str">
        <f>"26432020100909134713"</f>
        <v>26432020100909134713</v>
      </c>
      <c r="C486" s="7" t="s">
        <v>16</v>
      </c>
      <c r="D486" s="7" t="str">
        <f>"史梦可"</f>
        <v>史梦可</v>
      </c>
      <c r="E486" s="7" t="str">
        <f t="shared" si="22"/>
        <v>女</v>
      </c>
      <c r="F486" s="7" t="str">
        <f>"1986-12-18"</f>
        <v>1986-12-18</v>
      </c>
      <c r="G486" s="6"/>
    </row>
    <row r="487" spans="1:7" ht="30" customHeight="1">
      <c r="A487" s="6">
        <v>485</v>
      </c>
      <c r="B487" s="7" t="str">
        <f>"26432020100909483324"</f>
        <v>26432020100909483324</v>
      </c>
      <c r="C487" s="7" t="s">
        <v>16</v>
      </c>
      <c r="D487" s="7" t="str">
        <f>"符皑滢"</f>
        <v>符皑滢</v>
      </c>
      <c r="E487" s="7" t="str">
        <f t="shared" si="22"/>
        <v>女</v>
      </c>
      <c r="F487" s="7" t="str">
        <f>"1992-11-02"</f>
        <v>1992-11-02</v>
      </c>
      <c r="G487" s="6"/>
    </row>
    <row r="488" spans="1:7" ht="30" customHeight="1">
      <c r="A488" s="6">
        <v>486</v>
      </c>
      <c r="B488" s="7" t="str">
        <f>"26432020100910582260"</f>
        <v>26432020100910582260</v>
      </c>
      <c r="C488" s="7" t="s">
        <v>16</v>
      </c>
      <c r="D488" s="7" t="str">
        <f>"黄琳梓"</f>
        <v>黄琳梓</v>
      </c>
      <c r="E488" s="7" t="str">
        <f>"男"</f>
        <v>男</v>
      </c>
      <c r="F488" s="7" t="str">
        <f>"1994-10-08"</f>
        <v>1994-10-08</v>
      </c>
      <c r="G488" s="6"/>
    </row>
    <row r="489" spans="1:7" ht="30" customHeight="1">
      <c r="A489" s="6">
        <v>487</v>
      </c>
      <c r="B489" s="7" t="str">
        <f>"264320201014103842588"</f>
        <v>264320201014103842588</v>
      </c>
      <c r="C489" s="7" t="s">
        <v>16</v>
      </c>
      <c r="D489" s="7" t="str">
        <f>"胡一平"</f>
        <v>胡一平</v>
      </c>
      <c r="E489" s="7" t="str">
        <f>"女"</f>
        <v>女</v>
      </c>
      <c r="F489" s="7" t="str">
        <f>"1994-10-05"</f>
        <v>1994-10-05</v>
      </c>
      <c r="G489" s="6"/>
    </row>
    <row r="490" spans="1:7" ht="30" customHeight="1">
      <c r="A490" s="6">
        <v>488</v>
      </c>
      <c r="B490" s="7" t="str">
        <f>"264320201015195018680"</f>
        <v>264320201015195018680</v>
      </c>
      <c r="C490" s="7" t="s">
        <v>16</v>
      </c>
      <c r="D490" s="7" t="str">
        <f>"黄帆"</f>
        <v>黄帆</v>
      </c>
      <c r="E490" s="7" t="str">
        <f>"女"</f>
        <v>女</v>
      </c>
      <c r="F490" s="7" t="str">
        <f>"1996-09-23"</f>
        <v>1996-09-23</v>
      </c>
      <c r="G490" s="6"/>
    </row>
    <row r="491" spans="1:7" ht="30" customHeight="1">
      <c r="A491" s="6">
        <v>489</v>
      </c>
      <c r="B491" s="7" t="str">
        <f>"264320201020121623919"</f>
        <v>264320201020121623919</v>
      </c>
      <c r="C491" s="7" t="s">
        <v>16</v>
      </c>
      <c r="D491" s="7" t="str">
        <f>"时嘉阳"</f>
        <v>时嘉阳</v>
      </c>
      <c r="E491" s="7" t="str">
        <f>"女"</f>
        <v>女</v>
      </c>
      <c r="F491" s="7" t="str">
        <f>"1998-10-05"</f>
        <v>1998-10-05</v>
      </c>
      <c r="G491" s="6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2020-11-23T02:16:49Z</dcterms:created>
  <dcterms:modified xsi:type="dcterms:W3CDTF">2020-11-26T08:02:03Z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