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<sst xmlns="http://schemas.openxmlformats.org/spreadsheetml/2006/main" count="1082" uniqueCount="34">
  <si>
    <t>海南省干部疗养院（海南省老年病医院）
2020年紧缺岗位志愿者招聘资格审查通过人员名单</t>
  </si>
  <si>
    <t>序号</t>
  </si>
  <si>
    <t>应聘岗位</t>
  </si>
  <si>
    <t>姓名</t>
  </si>
  <si>
    <t>性别</t>
  </si>
  <si>
    <t>出生年月</t>
  </si>
  <si>
    <t>毕业院校</t>
  </si>
  <si>
    <t>所学专业</t>
  </si>
  <si>
    <t>学历</t>
  </si>
  <si>
    <t>有无相应的
资格/职称</t>
  </si>
  <si>
    <t>医师（外科）</t>
  </si>
  <si>
    <t>本科：临床医学
研究生：外科学</t>
  </si>
  <si>
    <t>有</t>
  </si>
  <si>
    <t>医师（中医）</t>
  </si>
  <si>
    <t>医师（西医）</t>
  </si>
  <si>
    <t>本科：临床医学
研究生：神经病学</t>
  </si>
  <si>
    <t>无</t>
  </si>
  <si>
    <t>康复治疗师（重症与心肺治疗方向）</t>
  </si>
  <si>
    <t>康复治疗师（言语治疗方向）</t>
  </si>
  <si>
    <t>康复治疗师（水疗方向）</t>
  </si>
  <si>
    <t>针炙推拿医师</t>
  </si>
  <si>
    <t>报告录入员</t>
  </si>
  <si>
    <t>超声医师</t>
  </si>
  <si>
    <t>诊断医师</t>
  </si>
  <si>
    <t>放射技师</t>
  </si>
  <si>
    <t>检验技师</t>
  </si>
  <si>
    <t>中药师</t>
  </si>
  <si>
    <t>护士（外科岗）</t>
  </si>
  <si>
    <t xml:space="preserve">有 </t>
  </si>
  <si>
    <t>护理员（重症室）</t>
  </si>
  <si>
    <t>科员</t>
  </si>
  <si>
    <t>供氧操作及维修技术人员</t>
  </si>
  <si>
    <t>收费员</t>
  </si>
  <si>
    <t>办事员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</si>
</sst>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23" fillId="0" borderId="0">
      <alignment vertical="center"/>
      <protection/>
    </xf>
  </cellStyleXfs>
  <cellXfs count="1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2" fillId="0" borderId="10" xfId="63" applyFont="1" applyFill="1" applyBorder="1" applyAlignment="1" applyProtection="1">
      <alignment horizontal="center" vertical="center" wrapText="1"/>
      <protection/>
    </xf>
    <xf numFmtId="0" fontId="3" fillId="0" borderId="9" xfId="0" applyFont="1" applyBorder="1" applyAlignment="1">
      <alignment horizontal="center" vertical="center"/>
    </xf>
    <xf numFmtId="0" fontId="24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36"/>
  <sheetViews>
    <sheetView tabSelected="1" zoomScaleSheetLayoutView="100" workbookViewId="0" topLeftCell="B519">
      <selection activeCell="M244" sqref="M244"/>
    </sheetView>
  </sheetViews>
  <sheetFormatPr defaultColWidth="9.00390625" defaultRowHeight="14.25"/>
  <cols>
    <col min="1" max="1" width="6.50390625" style="0" customWidth="1"/>
    <col min="2" max="2" width="31.50390625" style="0" customWidth="1"/>
    <col min="4" max="4" width="6.50390625" style="0" customWidth="1"/>
    <col min="5" max="5" width="11.75390625" style="0" customWidth="1"/>
    <col min="6" max="6" width="22.75390625" style="0" customWidth="1"/>
    <col min="7" max="7" width="23.625" style="0" customWidth="1"/>
    <col min="8" max="8" width="9.875" style="0" customWidth="1"/>
    <col min="9" max="9" width="12.00390625" style="1" customWidth="1"/>
  </cols>
  <sheetData>
    <row r="1" spans="1:9" ht="51.75" customHeight="1">
      <c r="A1" s="2" t="s">
        <v>0</v>
      </c>
      <c r="B1" s="3"/>
      <c r="C1" s="3"/>
      <c r="D1" s="3"/>
      <c r="E1" s="3"/>
      <c r="F1" s="3"/>
      <c r="G1" s="3"/>
      <c r="H1" s="3"/>
      <c r="I1" s="7"/>
    </row>
    <row r="2" spans="1:9" ht="28.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</row>
    <row r="3" spans="1:9" ht="28.5" customHeight="1">
      <c r="A3" s="5">
        <v>1</v>
      </c>
      <c r="B3" s="6" t="s">
        <v>10</v>
      </c>
      <c r="C3" s="6" t="str">
        <f>"曾德禄"</f>
        <v>曾德禄</v>
      </c>
      <c r="D3" s="6" t="str">
        <f aca="true" t="shared" si="0" ref="D3:D10">"男"</f>
        <v>男</v>
      </c>
      <c r="E3" s="6" t="str">
        <f>"1992-02-21"</f>
        <v>1992-02-21</v>
      </c>
      <c r="F3" s="6" t="str">
        <f aca="true" t="shared" si="1" ref="F3:F7">"海南医学院"</f>
        <v>海南医学院</v>
      </c>
      <c r="G3" s="6" t="s">
        <v>11</v>
      </c>
      <c r="H3" s="6" t="str">
        <f aca="true" t="shared" si="2" ref="H3:H6">"研究生"</f>
        <v>研究生</v>
      </c>
      <c r="I3" s="8" t="s">
        <v>12</v>
      </c>
    </row>
    <row r="4" spans="1:9" ht="27.75" customHeight="1">
      <c r="A4" s="5">
        <v>2</v>
      </c>
      <c r="B4" s="6" t="s">
        <v>10</v>
      </c>
      <c r="C4" s="6" t="str">
        <f>"陈圣杰"</f>
        <v>陈圣杰</v>
      </c>
      <c r="D4" s="6" t="str">
        <f t="shared" si="0"/>
        <v>男</v>
      </c>
      <c r="E4" s="6" t="str">
        <f>"1995-01-27"</f>
        <v>1995-01-27</v>
      </c>
      <c r="F4" s="6" t="str">
        <f>"山西医科大学"</f>
        <v>山西医科大学</v>
      </c>
      <c r="G4" s="6" t="s">
        <v>11</v>
      </c>
      <c r="H4" s="6" t="str">
        <f t="shared" si="2"/>
        <v>研究生</v>
      </c>
      <c r="I4" s="8" t="s">
        <v>12</v>
      </c>
    </row>
    <row r="5" spans="1:9" ht="24" customHeight="1">
      <c r="A5" s="5">
        <v>3</v>
      </c>
      <c r="B5" s="6" t="s">
        <v>10</v>
      </c>
      <c r="C5" s="6" t="str">
        <f>"梁帅"</f>
        <v>梁帅</v>
      </c>
      <c r="D5" s="6" t="str">
        <f t="shared" si="0"/>
        <v>男</v>
      </c>
      <c r="E5" s="6" t="str">
        <f>"1994-04-27"</f>
        <v>1994-04-27</v>
      </c>
      <c r="F5" s="6" t="str">
        <f>"西南医科大学"</f>
        <v>西南医科大学</v>
      </c>
      <c r="G5" s="6" t="str">
        <f aca="true" t="shared" si="3" ref="G5:G10">"临床医学"</f>
        <v>临床医学</v>
      </c>
      <c r="H5" s="6" t="str">
        <f aca="true" t="shared" si="4" ref="H5:H16">"本科"</f>
        <v>本科</v>
      </c>
      <c r="I5" s="8" t="s">
        <v>12</v>
      </c>
    </row>
    <row r="6" spans="1:9" ht="30" customHeight="1">
      <c r="A6" s="5">
        <v>4</v>
      </c>
      <c r="B6" s="6" t="s">
        <v>10</v>
      </c>
      <c r="C6" s="6" t="str">
        <f>"何志军"</f>
        <v>何志军</v>
      </c>
      <c r="D6" s="6" t="str">
        <f t="shared" si="0"/>
        <v>男</v>
      </c>
      <c r="E6" s="6" t="str">
        <f>"1993-09-07"</f>
        <v>1993-09-07</v>
      </c>
      <c r="F6" s="6" t="str">
        <f t="shared" si="1"/>
        <v>海南医学院</v>
      </c>
      <c r="G6" s="6" t="s">
        <v>11</v>
      </c>
      <c r="H6" s="6" t="str">
        <f t="shared" si="2"/>
        <v>研究生</v>
      </c>
      <c r="I6" s="8" t="s">
        <v>12</v>
      </c>
    </row>
    <row r="7" spans="1:9" ht="24" customHeight="1">
      <c r="A7" s="5">
        <v>5</v>
      </c>
      <c r="B7" s="6" t="s">
        <v>10</v>
      </c>
      <c r="C7" s="6" t="str">
        <f>"邢增学"</f>
        <v>邢增学</v>
      </c>
      <c r="D7" s="6" t="str">
        <f t="shared" si="0"/>
        <v>男</v>
      </c>
      <c r="E7" s="6" t="str">
        <f>"1989-12-16"</f>
        <v>1989-12-16</v>
      </c>
      <c r="F7" s="6" t="str">
        <f t="shared" si="1"/>
        <v>海南医学院</v>
      </c>
      <c r="G7" s="6" t="str">
        <f t="shared" si="3"/>
        <v>临床医学</v>
      </c>
      <c r="H7" s="6" t="str">
        <f t="shared" si="4"/>
        <v>本科</v>
      </c>
      <c r="I7" s="8" t="s">
        <v>12</v>
      </c>
    </row>
    <row r="8" spans="1:9" ht="24" customHeight="1">
      <c r="A8" s="5">
        <v>6</v>
      </c>
      <c r="B8" s="6" t="s">
        <v>10</v>
      </c>
      <c r="C8" s="6" t="str">
        <f>"姜韶华"</f>
        <v>姜韶华</v>
      </c>
      <c r="D8" s="6" t="str">
        <f t="shared" si="0"/>
        <v>男</v>
      </c>
      <c r="E8" s="6" t="str">
        <f>"1987-07-24"</f>
        <v>1987-07-24</v>
      </c>
      <c r="F8" s="6" t="str">
        <f>"沈阳医学院"</f>
        <v>沈阳医学院</v>
      </c>
      <c r="G8" s="6" t="str">
        <f t="shared" si="3"/>
        <v>临床医学</v>
      </c>
      <c r="H8" s="6" t="str">
        <f t="shared" si="4"/>
        <v>本科</v>
      </c>
      <c r="I8" s="8" t="s">
        <v>12</v>
      </c>
    </row>
    <row r="9" spans="1:9" ht="24" customHeight="1">
      <c r="A9" s="5">
        <v>7</v>
      </c>
      <c r="B9" s="6" t="s">
        <v>10</v>
      </c>
      <c r="C9" s="6" t="str">
        <f>"陈悦"</f>
        <v>陈悦</v>
      </c>
      <c r="D9" s="6" t="str">
        <f t="shared" si="0"/>
        <v>男</v>
      </c>
      <c r="E9" s="6" t="str">
        <f>"1993-02-26"</f>
        <v>1993-02-26</v>
      </c>
      <c r="F9" s="6" t="str">
        <f>"桂林医学院"</f>
        <v>桂林医学院</v>
      </c>
      <c r="G9" s="6" t="str">
        <f t="shared" si="3"/>
        <v>临床医学</v>
      </c>
      <c r="H9" s="6" t="str">
        <f t="shared" si="4"/>
        <v>本科</v>
      </c>
      <c r="I9" s="8" t="s">
        <v>12</v>
      </c>
    </row>
    <row r="10" spans="1:9" ht="24" customHeight="1">
      <c r="A10" s="5">
        <v>8</v>
      </c>
      <c r="B10" s="6" t="s">
        <v>10</v>
      </c>
      <c r="C10" s="6" t="str">
        <f>"张亮"</f>
        <v>张亮</v>
      </c>
      <c r="D10" s="6" t="str">
        <f t="shared" si="0"/>
        <v>男</v>
      </c>
      <c r="E10" s="6" t="str">
        <f>"1986-02-23"</f>
        <v>1986-02-23</v>
      </c>
      <c r="F10" s="6" t="str">
        <f>"江西省九江学院"</f>
        <v>江西省九江学院</v>
      </c>
      <c r="G10" s="6" t="str">
        <f t="shared" si="3"/>
        <v>临床医学</v>
      </c>
      <c r="H10" s="6" t="str">
        <f t="shared" si="4"/>
        <v>本科</v>
      </c>
      <c r="I10" s="9" t="s">
        <v>12</v>
      </c>
    </row>
    <row r="11" spans="1:9" ht="24" customHeight="1">
      <c r="A11" s="5">
        <v>9</v>
      </c>
      <c r="B11" s="6" t="s">
        <v>13</v>
      </c>
      <c r="C11" s="6" t="str">
        <f>"符新梦"</f>
        <v>符新梦</v>
      </c>
      <c r="D11" s="6" t="str">
        <f aca="true" t="shared" si="5" ref="D11:D14">"女"</f>
        <v>女</v>
      </c>
      <c r="E11" s="6" t="str">
        <f>"1996-07-20"</f>
        <v>1996-07-20</v>
      </c>
      <c r="F11" s="6" t="str">
        <f>"海南医学院"</f>
        <v>海南医学院</v>
      </c>
      <c r="G11" s="6" t="str">
        <f aca="true" t="shared" si="6" ref="G11:G21">"中医学"</f>
        <v>中医学</v>
      </c>
      <c r="H11" s="6" t="str">
        <f t="shared" si="4"/>
        <v>本科</v>
      </c>
      <c r="I11" s="8" t="s">
        <v>12</v>
      </c>
    </row>
    <row r="12" spans="1:9" ht="24" customHeight="1">
      <c r="A12" s="5">
        <v>10</v>
      </c>
      <c r="B12" s="6" t="s">
        <v>13</v>
      </c>
      <c r="C12" s="6" t="str">
        <f>"邓放"</f>
        <v>邓放</v>
      </c>
      <c r="D12" s="6" t="str">
        <f aca="true" t="shared" si="7" ref="D12:D17">"男"</f>
        <v>男</v>
      </c>
      <c r="E12" s="6" t="str">
        <f>"1994-12-01"</f>
        <v>1994-12-01</v>
      </c>
      <c r="F12" s="6" t="str">
        <f>"陕西中医药大学"</f>
        <v>陕西中医药大学</v>
      </c>
      <c r="G12" s="6" t="str">
        <f t="shared" si="6"/>
        <v>中医学</v>
      </c>
      <c r="H12" s="6" t="str">
        <f t="shared" si="4"/>
        <v>本科</v>
      </c>
      <c r="I12" s="8" t="s">
        <v>12</v>
      </c>
    </row>
    <row r="13" spans="1:9" ht="24" customHeight="1">
      <c r="A13" s="5">
        <v>11</v>
      </c>
      <c r="B13" s="6" t="s">
        <v>13</v>
      </c>
      <c r="C13" s="6" t="str">
        <f>"黄玉"</f>
        <v>黄玉</v>
      </c>
      <c r="D13" s="6" t="str">
        <f t="shared" si="5"/>
        <v>女</v>
      </c>
      <c r="E13" s="6" t="str">
        <f>"1990-12-25"</f>
        <v>1990-12-25</v>
      </c>
      <c r="F13" s="6" t="str">
        <f>"海南医学院"</f>
        <v>海南医学院</v>
      </c>
      <c r="G13" s="6" t="str">
        <f t="shared" si="6"/>
        <v>中医学</v>
      </c>
      <c r="H13" s="6" t="str">
        <f t="shared" si="4"/>
        <v>本科</v>
      </c>
      <c r="I13" s="8" t="s">
        <v>12</v>
      </c>
    </row>
    <row r="14" spans="1:9" ht="24" customHeight="1">
      <c r="A14" s="5">
        <v>12</v>
      </c>
      <c r="B14" s="6" t="s">
        <v>13</v>
      </c>
      <c r="C14" s="6" t="str">
        <f>"李思慧"</f>
        <v>李思慧</v>
      </c>
      <c r="D14" s="6" t="str">
        <f t="shared" si="5"/>
        <v>女</v>
      </c>
      <c r="E14" s="6" t="str">
        <f>"1992-12-13"</f>
        <v>1992-12-13</v>
      </c>
      <c r="F14" s="6" t="str">
        <f>"澳门科技大学"</f>
        <v>澳门科技大学</v>
      </c>
      <c r="G14" s="6" t="str">
        <f t="shared" si="6"/>
        <v>中医学</v>
      </c>
      <c r="H14" s="6" t="str">
        <f t="shared" si="4"/>
        <v>本科</v>
      </c>
      <c r="I14" s="8" t="s">
        <v>12</v>
      </c>
    </row>
    <row r="15" spans="1:9" ht="24" customHeight="1">
      <c r="A15" s="5">
        <v>13</v>
      </c>
      <c r="B15" s="6" t="s">
        <v>13</v>
      </c>
      <c r="C15" s="6" t="str">
        <f>"王焕军"</f>
        <v>王焕军</v>
      </c>
      <c r="D15" s="6" t="str">
        <f t="shared" si="7"/>
        <v>男</v>
      </c>
      <c r="E15" s="6" t="str">
        <f>"1993-06-18"</f>
        <v>1993-06-18</v>
      </c>
      <c r="F15" s="6" t="str">
        <f>"长春中医药大学"</f>
        <v>长春中医药大学</v>
      </c>
      <c r="G15" s="6" t="str">
        <f t="shared" si="6"/>
        <v>中医学</v>
      </c>
      <c r="H15" s="6" t="str">
        <f t="shared" si="4"/>
        <v>本科</v>
      </c>
      <c r="I15" s="8" t="s">
        <v>12</v>
      </c>
    </row>
    <row r="16" spans="1:9" ht="24" customHeight="1">
      <c r="A16" s="5">
        <v>14</v>
      </c>
      <c r="B16" s="6" t="s">
        <v>13</v>
      </c>
      <c r="C16" s="6" t="str">
        <f>"高翔"</f>
        <v>高翔</v>
      </c>
      <c r="D16" s="6" t="str">
        <f aca="true" t="shared" si="8" ref="D16:D19">"女"</f>
        <v>女</v>
      </c>
      <c r="E16" s="6" t="str">
        <f>"1992-04-29"</f>
        <v>1992-04-29</v>
      </c>
      <c r="F16" s="6" t="str">
        <f>"山西中医学院"</f>
        <v>山西中医学院</v>
      </c>
      <c r="G16" s="6" t="str">
        <f t="shared" si="6"/>
        <v>中医学</v>
      </c>
      <c r="H16" s="6" t="str">
        <f t="shared" si="4"/>
        <v>本科</v>
      </c>
      <c r="I16" s="8" t="s">
        <v>12</v>
      </c>
    </row>
    <row r="17" spans="1:9" ht="24" customHeight="1">
      <c r="A17" s="5">
        <v>15</v>
      </c>
      <c r="B17" s="6" t="s">
        <v>13</v>
      </c>
      <c r="C17" s="6" t="str">
        <f>"何少华"</f>
        <v>何少华</v>
      </c>
      <c r="D17" s="6" t="str">
        <f t="shared" si="7"/>
        <v>男</v>
      </c>
      <c r="E17" s="6" t="str">
        <f>"1994-08-19"</f>
        <v>1994-08-19</v>
      </c>
      <c r="F17" s="6" t="str">
        <f>"湖南中医药大学"</f>
        <v>湖南中医药大学</v>
      </c>
      <c r="G17" s="6" t="str">
        <f t="shared" si="6"/>
        <v>中医学</v>
      </c>
      <c r="H17" s="6" t="str">
        <f>"研究生"</f>
        <v>研究生</v>
      </c>
      <c r="I17" s="8" t="s">
        <v>12</v>
      </c>
    </row>
    <row r="18" spans="1:9" ht="24" customHeight="1">
      <c r="A18" s="5">
        <v>16</v>
      </c>
      <c r="B18" s="6" t="s">
        <v>13</v>
      </c>
      <c r="C18" s="6" t="str">
        <f>"陈信茹"</f>
        <v>陈信茹</v>
      </c>
      <c r="D18" s="6" t="str">
        <f t="shared" si="8"/>
        <v>女</v>
      </c>
      <c r="E18" s="6" t="str">
        <f>"1995-09-30"</f>
        <v>1995-09-30</v>
      </c>
      <c r="F18" s="6" t="str">
        <f>"贵阳中医学院"</f>
        <v>贵阳中医学院</v>
      </c>
      <c r="G18" s="6" t="str">
        <f t="shared" si="6"/>
        <v>中医学</v>
      </c>
      <c r="H18" s="6" t="str">
        <f aca="true" t="shared" si="9" ref="H18:H28">"本科"</f>
        <v>本科</v>
      </c>
      <c r="I18" s="8" t="s">
        <v>12</v>
      </c>
    </row>
    <row r="19" spans="1:9" ht="24" customHeight="1">
      <c r="A19" s="5">
        <v>17</v>
      </c>
      <c r="B19" s="6" t="s">
        <v>13</v>
      </c>
      <c r="C19" s="6" t="str">
        <f>"符微"</f>
        <v>符微</v>
      </c>
      <c r="D19" s="6" t="str">
        <f t="shared" si="8"/>
        <v>女</v>
      </c>
      <c r="E19" s="6" t="str">
        <f>"1991-07-03"</f>
        <v>1991-07-03</v>
      </c>
      <c r="F19" s="6" t="str">
        <f aca="true" t="shared" si="10" ref="F19:F30">"海南医学院"</f>
        <v>海南医学院</v>
      </c>
      <c r="G19" s="6" t="str">
        <f t="shared" si="6"/>
        <v>中医学</v>
      </c>
      <c r="H19" s="6" t="str">
        <f t="shared" si="9"/>
        <v>本科</v>
      </c>
      <c r="I19" s="8" t="s">
        <v>12</v>
      </c>
    </row>
    <row r="20" spans="1:9" ht="24" customHeight="1">
      <c r="A20" s="5">
        <v>18</v>
      </c>
      <c r="B20" s="6" t="s">
        <v>13</v>
      </c>
      <c r="C20" s="6" t="str">
        <f>"辜春敏"</f>
        <v>辜春敏</v>
      </c>
      <c r="D20" s="6" t="str">
        <f>"男"</f>
        <v>男</v>
      </c>
      <c r="E20" s="6" t="str">
        <f>"1990-10-11"</f>
        <v>1990-10-11</v>
      </c>
      <c r="F20" s="6" t="str">
        <f>"江西中医药大学"</f>
        <v>江西中医药大学</v>
      </c>
      <c r="G20" s="6" t="str">
        <f t="shared" si="6"/>
        <v>中医学</v>
      </c>
      <c r="H20" s="6" t="str">
        <f t="shared" si="9"/>
        <v>本科</v>
      </c>
      <c r="I20" s="8" t="s">
        <v>12</v>
      </c>
    </row>
    <row r="21" spans="1:9" ht="24" customHeight="1">
      <c r="A21" s="5">
        <v>19</v>
      </c>
      <c r="B21" s="6" t="s">
        <v>13</v>
      </c>
      <c r="C21" s="6" t="str">
        <f>"代红咪"</f>
        <v>代红咪</v>
      </c>
      <c r="D21" s="6" t="str">
        <f aca="true" t="shared" si="11" ref="D21:D26">"女"</f>
        <v>女</v>
      </c>
      <c r="E21" s="6" t="str">
        <f>"1993-07-20"</f>
        <v>1993-07-20</v>
      </c>
      <c r="F21" s="6" t="str">
        <f t="shared" si="10"/>
        <v>海南医学院</v>
      </c>
      <c r="G21" s="6" t="str">
        <f t="shared" si="6"/>
        <v>中医学</v>
      </c>
      <c r="H21" s="6" t="str">
        <f t="shared" si="9"/>
        <v>本科</v>
      </c>
      <c r="I21" s="8" t="s">
        <v>12</v>
      </c>
    </row>
    <row r="22" spans="1:9" ht="24" customHeight="1">
      <c r="A22" s="5">
        <v>20</v>
      </c>
      <c r="B22" s="6" t="s">
        <v>13</v>
      </c>
      <c r="C22" s="6" t="str">
        <f>"周圣淇"</f>
        <v>周圣淇</v>
      </c>
      <c r="D22" s="6" t="str">
        <f>"男"</f>
        <v>男</v>
      </c>
      <c r="E22" s="6" t="str">
        <f>"1993-02-18"</f>
        <v>1993-02-18</v>
      </c>
      <c r="F22" s="6" t="str">
        <f>"长春中医药大学"</f>
        <v>长春中医药大学</v>
      </c>
      <c r="G22" s="6" t="str">
        <f aca="true" t="shared" si="12" ref="G22:G26">"中医学"</f>
        <v>中医学</v>
      </c>
      <c r="H22" s="6" t="str">
        <f t="shared" si="9"/>
        <v>本科</v>
      </c>
      <c r="I22" s="8" t="s">
        <v>12</v>
      </c>
    </row>
    <row r="23" spans="1:9" ht="24" customHeight="1">
      <c r="A23" s="5">
        <v>21</v>
      </c>
      <c r="B23" s="6" t="s">
        <v>13</v>
      </c>
      <c r="C23" s="6" t="str">
        <f>"蔡季颖"</f>
        <v>蔡季颖</v>
      </c>
      <c r="D23" s="6" t="str">
        <f t="shared" si="11"/>
        <v>女</v>
      </c>
      <c r="E23" s="6" t="str">
        <f>"1992-12-13"</f>
        <v>1992-12-13</v>
      </c>
      <c r="F23" s="6" t="str">
        <f>"云南中医学院"</f>
        <v>云南中医学院</v>
      </c>
      <c r="G23" s="6" t="str">
        <f t="shared" si="12"/>
        <v>中医学</v>
      </c>
      <c r="H23" s="6" t="str">
        <f t="shared" si="9"/>
        <v>本科</v>
      </c>
      <c r="I23" s="9" t="s">
        <v>12</v>
      </c>
    </row>
    <row r="24" spans="1:9" ht="24" customHeight="1">
      <c r="A24" s="5">
        <v>22</v>
      </c>
      <c r="B24" s="6" t="s">
        <v>13</v>
      </c>
      <c r="C24" s="6" t="str">
        <f>"王一琦"</f>
        <v>王一琦</v>
      </c>
      <c r="D24" s="6" t="str">
        <f t="shared" si="11"/>
        <v>女</v>
      </c>
      <c r="E24" s="6" t="str">
        <f>"1992-07-19"</f>
        <v>1992-07-19</v>
      </c>
      <c r="F24" s="6" t="str">
        <f t="shared" si="10"/>
        <v>海南医学院</v>
      </c>
      <c r="G24" s="6" t="str">
        <f t="shared" si="12"/>
        <v>中医学</v>
      </c>
      <c r="H24" s="6" t="str">
        <f t="shared" si="9"/>
        <v>本科</v>
      </c>
      <c r="I24" s="8" t="s">
        <v>12</v>
      </c>
    </row>
    <row r="25" spans="1:9" ht="24" customHeight="1">
      <c r="A25" s="5">
        <v>23</v>
      </c>
      <c r="B25" s="6" t="s">
        <v>13</v>
      </c>
      <c r="C25" s="6" t="str">
        <f>"肖琳"</f>
        <v>肖琳</v>
      </c>
      <c r="D25" s="6" t="str">
        <f t="shared" si="11"/>
        <v>女</v>
      </c>
      <c r="E25" s="6" t="str">
        <f>"1991-09-29"</f>
        <v>1991-09-29</v>
      </c>
      <c r="F25" s="6" t="str">
        <f t="shared" si="10"/>
        <v>海南医学院</v>
      </c>
      <c r="G25" s="6" t="str">
        <f t="shared" si="12"/>
        <v>中医学</v>
      </c>
      <c r="H25" s="6" t="str">
        <f t="shared" si="9"/>
        <v>本科</v>
      </c>
      <c r="I25" s="8" t="s">
        <v>12</v>
      </c>
    </row>
    <row r="26" spans="1:9" ht="24" customHeight="1">
      <c r="A26" s="5">
        <v>24</v>
      </c>
      <c r="B26" s="6" t="s">
        <v>13</v>
      </c>
      <c r="C26" s="6" t="str">
        <f>"钟江莹"</f>
        <v>钟江莹</v>
      </c>
      <c r="D26" s="6" t="str">
        <f t="shared" si="11"/>
        <v>女</v>
      </c>
      <c r="E26" s="6" t="str">
        <f>"1991-03-08"</f>
        <v>1991-03-08</v>
      </c>
      <c r="F26" s="6" t="str">
        <f t="shared" si="10"/>
        <v>海南医学院</v>
      </c>
      <c r="G26" s="6" t="str">
        <f t="shared" si="12"/>
        <v>中医学</v>
      </c>
      <c r="H26" s="6" t="str">
        <f t="shared" si="9"/>
        <v>本科</v>
      </c>
      <c r="I26" s="8" t="s">
        <v>12</v>
      </c>
    </row>
    <row r="27" spans="1:9" ht="24" customHeight="1">
      <c r="A27" s="5">
        <v>25</v>
      </c>
      <c r="B27" s="6" t="s">
        <v>14</v>
      </c>
      <c r="C27" s="6" t="str">
        <f>"高世琼"</f>
        <v>高世琼</v>
      </c>
      <c r="D27" s="6" t="str">
        <f>"男"</f>
        <v>男</v>
      </c>
      <c r="E27" s="6" t="str">
        <f>"1988-12-09"</f>
        <v>1988-12-09</v>
      </c>
      <c r="F27" s="6" t="str">
        <f t="shared" si="10"/>
        <v>海南医学院</v>
      </c>
      <c r="G27" s="6" t="str">
        <f aca="true" t="shared" si="13" ref="G27:G47">"临床医学"</f>
        <v>临床医学</v>
      </c>
      <c r="H27" s="6" t="str">
        <f t="shared" si="9"/>
        <v>本科</v>
      </c>
      <c r="I27" s="8" t="s">
        <v>12</v>
      </c>
    </row>
    <row r="28" spans="1:9" ht="24" customHeight="1">
      <c r="A28" s="5">
        <v>26</v>
      </c>
      <c r="B28" s="6" t="s">
        <v>14</v>
      </c>
      <c r="C28" s="6" t="str">
        <f>"李小华"</f>
        <v>李小华</v>
      </c>
      <c r="D28" s="6" t="str">
        <f aca="true" t="shared" si="14" ref="D28:D33">"女"</f>
        <v>女</v>
      </c>
      <c r="E28" s="6" t="str">
        <f>"1993-08-29"</f>
        <v>1993-08-29</v>
      </c>
      <c r="F28" s="6" t="str">
        <f t="shared" si="10"/>
        <v>海南医学院</v>
      </c>
      <c r="G28" s="6" t="str">
        <f t="shared" si="13"/>
        <v>临床医学</v>
      </c>
      <c r="H28" s="6" t="str">
        <f t="shared" si="9"/>
        <v>本科</v>
      </c>
      <c r="I28" s="8" t="s">
        <v>12</v>
      </c>
    </row>
    <row r="29" spans="1:9" ht="31.5" customHeight="1">
      <c r="A29" s="5">
        <v>27</v>
      </c>
      <c r="B29" s="6" t="s">
        <v>14</v>
      </c>
      <c r="C29" s="6" t="str">
        <f>"卢国萍"</f>
        <v>卢国萍</v>
      </c>
      <c r="D29" s="6" t="str">
        <f t="shared" si="14"/>
        <v>女</v>
      </c>
      <c r="E29" s="6" t="str">
        <f>"1992-10-21"</f>
        <v>1992-10-21</v>
      </c>
      <c r="F29" s="6" t="str">
        <f t="shared" si="10"/>
        <v>海南医学院</v>
      </c>
      <c r="G29" s="6" t="s">
        <v>15</v>
      </c>
      <c r="H29" s="6" t="str">
        <f>"研究生"</f>
        <v>研究生</v>
      </c>
      <c r="I29" s="8" t="s">
        <v>12</v>
      </c>
    </row>
    <row r="30" spans="1:9" ht="24" customHeight="1">
      <c r="A30" s="5">
        <v>28</v>
      </c>
      <c r="B30" s="6" t="s">
        <v>14</v>
      </c>
      <c r="C30" s="6" t="str">
        <f>"卢俊君"</f>
        <v>卢俊君</v>
      </c>
      <c r="D30" s="6" t="str">
        <f t="shared" si="14"/>
        <v>女</v>
      </c>
      <c r="E30" s="6" t="str">
        <f>"1988-11-30"</f>
        <v>1988-11-30</v>
      </c>
      <c r="F30" s="6" t="str">
        <f t="shared" si="10"/>
        <v>海南医学院</v>
      </c>
      <c r="G30" s="6" t="str">
        <f t="shared" si="13"/>
        <v>临床医学</v>
      </c>
      <c r="H30" s="6" t="str">
        <f aca="true" t="shared" si="15" ref="H30:H81">"本科"</f>
        <v>本科</v>
      </c>
      <c r="I30" s="8" t="s">
        <v>12</v>
      </c>
    </row>
    <row r="31" spans="1:9" ht="24" customHeight="1">
      <c r="A31" s="5">
        <v>29</v>
      </c>
      <c r="B31" s="6" t="s">
        <v>14</v>
      </c>
      <c r="C31" s="6" t="str">
        <f>"许诗璐"</f>
        <v>许诗璐</v>
      </c>
      <c r="D31" s="6" t="str">
        <f t="shared" si="14"/>
        <v>女</v>
      </c>
      <c r="E31" s="6" t="str">
        <f>"1997-01-14"</f>
        <v>1997-01-14</v>
      </c>
      <c r="F31" s="6" t="str">
        <f>"川北医学院"</f>
        <v>川北医学院</v>
      </c>
      <c r="G31" s="6" t="str">
        <f t="shared" si="13"/>
        <v>临床医学</v>
      </c>
      <c r="H31" s="6" t="str">
        <f t="shared" si="15"/>
        <v>本科</v>
      </c>
      <c r="I31" s="8" t="s">
        <v>16</v>
      </c>
    </row>
    <row r="32" spans="1:9" ht="24" customHeight="1">
      <c r="A32" s="5">
        <v>30</v>
      </c>
      <c r="B32" s="6" t="s">
        <v>14</v>
      </c>
      <c r="C32" s="6" t="str">
        <f>"钟华月"</f>
        <v>钟华月</v>
      </c>
      <c r="D32" s="6" t="str">
        <f t="shared" si="14"/>
        <v>女</v>
      </c>
      <c r="E32" s="6" t="str">
        <f>"1991-01-03"</f>
        <v>1991-01-03</v>
      </c>
      <c r="F32" s="6" t="str">
        <f>"湘南学院"</f>
        <v>湘南学院</v>
      </c>
      <c r="G32" s="6" t="str">
        <f t="shared" si="13"/>
        <v>临床医学</v>
      </c>
      <c r="H32" s="6" t="str">
        <f t="shared" si="15"/>
        <v>本科</v>
      </c>
      <c r="I32" s="8" t="s">
        <v>12</v>
      </c>
    </row>
    <row r="33" spans="1:9" ht="24" customHeight="1">
      <c r="A33" s="5">
        <v>31</v>
      </c>
      <c r="B33" s="6" t="s">
        <v>14</v>
      </c>
      <c r="C33" s="6" t="str">
        <f>"陈丹妮"</f>
        <v>陈丹妮</v>
      </c>
      <c r="D33" s="6" t="str">
        <f t="shared" si="14"/>
        <v>女</v>
      </c>
      <c r="E33" s="6" t="str">
        <f>"1990-11-29"</f>
        <v>1990-11-29</v>
      </c>
      <c r="F33" s="6" t="str">
        <f>"海南医学院"</f>
        <v>海南医学院</v>
      </c>
      <c r="G33" s="6" t="str">
        <f t="shared" si="13"/>
        <v>临床医学</v>
      </c>
      <c r="H33" s="6" t="str">
        <f t="shared" si="15"/>
        <v>本科</v>
      </c>
      <c r="I33" s="8" t="s">
        <v>12</v>
      </c>
    </row>
    <row r="34" spans="1:9" ht="24" customHeight="1">
      <c r="A34" s="5">
        <v>32</v>
      </c>
      <c r="B34" s="6" t="s">
        <v>14</v>
      </c>
      <c r="C34" s="6" t="str">
        <f>"李昌东"</f>
        <v>李昌东</v>
      </c>
      <c r="D34" s="6" t="str">
        <f aca="true" t="shared" si="16" ref="D34:D39">"男"</f>
        <v>男</v>
      </c>
      <c r="E34" s="6" t="str">
        <f>"1993-04-08"</f>
        <v>1993-04-08</v>
      </c>
      <c r="F34" s="6" t="str">
        <f>"长沙医学院"</f>
        <v>长沙医学院</v>
      </c>
      <c r="G34" s="6" t="str">
        <f t="shared" si="13"/>
        <v>临床医学</v>
      </c>
      <c r="H34" s="6" t="str">
        <f t="shared" si="15"/>
        <v>本科</v>
      </c>
      <c r="I34" s="8" t="s">
        <v>12</v>
      </c>
    </row>
    <row r="35" spans="1:9" ht="24" customHeight="1">
      <c r="A35" s="5">
        <v>33</v>
      </c>
      <c r="B35" s="6" t="s">
        <v>14</v>
      </c>
      <c r="C35" s="6" t="str">
        <f>"吴春燕"</f>
        <v>吴春燕</v>
      </c>
      <c r="D35" s="6" t="str">
        <f aca="true" t="shared" si="17" ref="D35:D37">"女"</f>
        <v>女</v>
      </c>
      <c r="E35" s="6" t="str">
        <f>"1992-05-01"</f>
        <v>1992-05-01</v>
      </c>
      <c r="F35" s="6" t="str">
        <f>"海南医学院"</f>
        <v>海南医学院</v>
      </c>
      <c r="G35" s="6" t="str">
        <f t="shared" si="13"/>
        <v>临床医学</v>
      </c>
      <c r="H35" s="6" t="str">
        <f t="shared" si="15"/>
        <v>本科</v>
      </c>
      <c r="I35" s="8" t="s">
        <v>12</v>
      </c>
    </row>
    <row r="36" spans="1:9" ht="24" customHeight="1">
      <c r="A36" s="5">
        <v>34</v>
      </c>
      <c r="B36" s="6" t="s">
        <v>14</v>
      </c>
      <c r="C36" s="6" t="str">
        <f>"万玲玲"</f>
        <v>万玲玲</v>
      </c>
      <c r="D36" s="6" t="str">
        <f t="shared" si="17"/>
        <v>女</v>
      </c>
      <c r="E36" s="6" t="str">
        <f>"1991-09-15"</f>
        <v>1991-09-15</v>
      </c>
      <c r="F36" s="6" t="str">
        <f>"西北民族大学"</f>
        <v>西北民族大学</v>
      </c>
      <c r="G36" s="6" t="str">
        <f t="shared" si="13"/>
        <v>临床医学</v>
      </c>
      <c r="H36" s="6" t="str">
        <f t="shared" si="15"/>
        <v>本科</v>
      </c>
      <c r="I36" s="8" t="s">
        <v>12</v>
      </c>
    </row>
    <row r="37" spans="1:9" ht="24" customHeight="1">
      <c r="A37" s="5">
        <v>35</v>
      </c>
      <c r="B37" s="6" t="s">
        <v>14</v>
      </c>
      <c r="C37" s="6" t="str">
        <f>"羊平"</f>
        <v>羊平</v>
      </c>
      <c r="D37" s="6" t="str">
        <f t="shared" si="17"/>
        <v>女</v>
      </c>
      <c r="E37" s="6" t="str">
        <f>"1992-12-04"</f>
        <v>1992-12-04</v>
      </c>
      <c r="F37" s="6" t="str">
        <f>"遵义医学院医学与科技学院"</f>
        <v>遵义医学院医学与科技学院</v>
      </c>
      <c r="G37" s="6" t="str">
        <f t="shared" si="13"/>
        <v>临床医学</v>
      </c>
      <c r="H37" s="6" t="str">
        <f t="shared" si="15"/>
        <v>本科</v>
      </c>
      <c r="I37" s="8" t="s">
        <v>12</v>
      </c>
    </row>
    <row r="38" spans="1:9" ht="24" customHeight="1">
      <c r="A38" s="5">
        <v>36</v>
      </c>
      <c r="B38" s="6" t="s">
        <v>14</v>
      </c>
      <c r="C38" s="6" t="str">
        <f>"黄文"</f>
        <v>黄文</v>
      </c>
      <c r="D38" s="6" t="str">
        <f t="shared" si="16"/>
        <v>男</v>
      </c>
      <c r="E38" s="6" t="str">
        <f>"1989-03-03"</f>
        <v>1989-03-03</v>
      </c>
      <c r="F38" s="6" t="str">
        <f>"长沙医学院"</f>
        <v>长沙医学院</v>
      </c>
      <c r="G38" s="6" t="str">
        <f t="shared" si="13"/>
        <v>临床医学</v>
      </c>
      <c r="H38" s="6" t="str">
        <f t="shared" si="15"/>
        <v>本科</v>
      </c>
      <c r="I38" s="8" t="s">
        <v>12</v>
      </c>
    </row>
    <row r="39" spans="1:9" ht="24" customHeight="1">
      <c r="A39" s="5">
        <v>37</v>
      </c>
      <c r="B39" s="6" t="s">
        <v>14</v>
      </c>
      <c r="C39" s="6" t="str">
        <f>"陈巨星"</f>
        <v>陈巨星</v>
      </c>
      <c r="D39" s="6" t="str">
        <f t="shared" si="16"/>
        <v>男</v>
      </c>
      <c r="E39" s="6" t="str">
        <f>"1992-02-26"</f>
        <v>1992-02-26</v>
      </c>
      <c r="F39" s="6" t="str">
        <f>"海南医学院"</f>
        <v>海南医学院</v>
      </c>
      <c r="G39" s="6" t="str">
        <f t="shared" si="13"/>
        <v>临床医学</v>
      </c>
      <c r="H39" s="6" t="str">
        <f t="shared" si="15"/>
        <v>本科</v>
      </c>
      <c r="I39" s="8" t="s">
        <v>12</v>
      </c>
    </row>
    <row r="40" spans="1:9" ht="24" customHeight="1">
      <c r="A40" s="5">
        <v>38</v>
      </c>
      <c r="B40" s="6" t="s">
        <v>14</v>
      </c>
      <c r="C40" s="6" t="str">
        <f>"张彤"</f>
        <v>张彤</v>
      </c>
      <c r="D40" s="6" t="str">
        <f aca="true" t="shared" si="18" ref="D40:D48">"女"</f>
        <v>女</v>
      </c>
      <c r="E40" s="6" t="str">
        <f>"1996-12-16"</f>
        <v>1996-12-16</v>
      </c>
      <c r="F40" s="6" t="str">
        <f>"大理大学"</f>
        <v>大理大学</v>
      </c>
      <c r="G40" s="6" t="str">
        <f t="shared" si="13"/>
        <v>临床医学</v>
      </c>
      <c r="H40" s="6" t="str">
        <f t="shared" si="15"/>
        <v>本科</v>
      </c>
      <c r="I40" s="8" t="s">
        <v>12</v>
      </c>
    </row>
    <row r="41" spans="1:9" ht="24" customHeight="1">
      <c r="A41" s="5">
        <v>39</v>
      </c>
      <c r="B41" s="6" t="s">
        <v>14</v>
      </c>
      <c r="C41" s="6" t="str">
        <f>"羊宽女"</f>
        <v>羊宽女</v>
      </c>
      <c r="D41" s="6" t="str">
        <f t="shared" si="18"/>
        <v>女</v>
      </c>
      <c r="E41" s="6" t="str">
        <f>"1991-08-02"</f>
        <v>1991-08-02</v>
      </c>
      <c r="F41" s="6" t="str">
        <f>"海南医学院"</f>
        <v>海南医学院</v>
      </c>
      <c r="G41" s="6" t="str">
        <f t="shared" si="13"/>
        <v>临床医学</v>
      </c>
      <c r="H41" s="6" t="str">
        <f t="shared" si="15"/>
        <v>本科</v>
      </c>
      <c r="I41" s="8" t="s">
        <v>12</v>
      </c>
    </row>
    <row r="42" spans="1:9" ht="24" customHeight="1">
      <c r="A42" s="5">
        <v>40</v>
      </c>
      <c r="B42" s="6" t="s">
        <v>14</v>
      </c>
      <c r="C42" s="6" t="str">
        <f>"欧桓银"</f>
        <v>欧桓银</v>
      </c>
      <c r="D42" s="6" t="str">
        <f>"男"</f>
        <v>男</v>
      </c>
      <c r="E42" s="6" t="str">
        <f>"1993-08-26"</f>
        <v>1993-08-26</v>
      </c>
      <c r="F42" s="6" t="str">
        <f>"贵州医科大学"</f>
        <v>贵州医科大学</v>
      </c>
      <c r="G42" s="6" t="str">
        <f t="shared" si="13"/>
        <v>临床医学</v>
      </c>
      <c r="H42" s="6" t="str">
        <f t="shared" si="15"/>
        <v>本科</v>
      </c>
      <c r="I42" s="8" t="s">
        <v>12</v>
      </c>
    </row>
    <row r="43" spans="1:9" ht="24" customHeight="1">
      <c r="A43" s="5">
        <v>41</v>
      </c>
      <c r="B43" s="6" t="s">
        <v>14</v>
      </c>
      <c r="C43" s="6" t="str">
        <f>"王妃"</f>
        <v>王妃</v>
      </c>
      <c r="D43" s="6" t="str">
        <f t="shared" si="18"/>
        <v>女</v>
      </c>
      <c r="E43" s="6" t="str">
        <f>"1993-03-13"</f>
        <v>1993-03-13</v>
      </c>
      <c r="F43" s="6" t="str">
        <f>"长沙医学院"</f>
        <v>长沙医学院</v>
      </c>
      <c r="G43" s="6" t="str">
        <f t="shared" si="13"/>
        <v>临床医学</v>
      </c>
      <c r="H43" s="6" t="str">
        <f t="shared" si="15"/>
        <v>本科</v>
      </c>
      <c r="I43" s="8" t="s">
        <v>12</v>
      </c>
    </row>
    <row r="44" spans="1:9" ht="24" customHeight="1">
      <c r="A44" s="5">
        <v>42</v>
      </c>
      <c r="B44" s="6" t="s">
        <v>14</v>
      </c>
      <c r="C44" s="6" t="str">
        <f>"邢婷婷"</f>
        <v>邢婷婷</v>
      </c>
      <c r="D44" s="6" t="str">
        <f t="shared" si="18"/>
        <v>女</v>
      </c>
      <c r="E44" s="6" t="str">
        <f>"1992-10-27"</f>
        <v>1992-10-27</v>
      </c>
      <c r="F44" s="6" t="str">
        <f>"大理大学"</f>
        <v>大理大学</v>
      </c>
      <c r="G44" s="6" t="str">
        <f t="shared" si="13"/>
        <v>临床医学</v>
      </c>
      <c r="H44" s="6" t="str">
        <f t="shared" si="15"/>
        <v>本科</v>
      </c>
      <c r="I44" s="8" t="s">
        <v>12</v>
      </c>
    </row>
    <row r="45" spans="1:9" ht="24" customHeight="1">
      <c r="A45" s="5">
        <v>43</v>
      </c>
      <c r="B45" s="6" t="s">
        <v>14</v>
      </c>
      <c r="C45" s="6" t="str">
        <f>"余晏彤"</f>
        <v>余晏彤</v>
      </c>
      <c r="D45" s="6" t="str">
        <f t="shared" si="18"/>
        <v>女</v>
      </c>
      <c r="E45" s="6" t="str">
        <f>"1997-05-16"</f>
        <v>1997-05-16</v>
      </c>
      <c r="F45" s="6" t="str">
        <f>"成都医学院"</f>
        <v>成都医学院</v>
      </c>
      <c r="G45" s="6" t="str">
        <f t="shared" si="13"/>
        <v>临床医学</v>
      </c>
      <c r="H45" s="6" t="str">
        <f t="shared" si="15"/>
        <v>本科</v>
      </c>
      <c r="I45" s="8" t="s">
        <v>16</v>
      </c>
    </row>
    <row r="46" spans="1:9" ht="24" customHeight="1">
      <c r="A46" s="5">
        <v>44</v>
      </c>
      <c r="B46" s="6" t="s">
        <v>14</v>
      </c>
      <c r="C46" s="6" t="str">
        <f>"符小菊"</f>
        <v>符小菊</v>
      </c>
      <c r="D46" s="6" t="str">
        <f t="shared" si="18"/>
        <v>女</v>
      </c>
      <c r="E46" s="6" t="str">
        <f>"1993-04-01"</f>
        <v>1993-04-01</v>
      </c>
      <c r="F46" s="6" t="str">
        <f>"桂林医学院"</f>
        <v>桂林医学院</v>
      </c>
      <c r="G46" s="6" t="str">
        <f t="shared" si="13"/>
        <v>临床医学</v>
      </c>
      <c r="H46" s="6" t="str">
        <f t="shared" si="15"/>
        <v>本科</v>
      </c>
      <c r="I46" s="8" t="s">
        <v>12</v>
      </c>
    </row>
    <row r="47" spans="1:9" ht="24" customHeight="1">
      <c r="A47" s="5">
        <v>45</v>
      </c>
      <c r="B47" s="6" t="s">
        <v>14</v>
      </c>
      <c r="C47" s="6" t="str">
        <f>"周瑞玉"</f>
        <v>周瑞玉</v>
      </c>
      <c r="D47" s="6" t="str">
        <f t="shared" si="18"/>
        <v>女</v>
      </c>
      <c r="E47" s="6" t="str">
        <f>"1987-10-16"</f>
        <v>1987-10-16</v>
      </c>
      <c r="F47" s="6" t="str">
        <f>"海南医学院"</f>
        <v>海南医学院</v>
      </c>
      <c r="G47" s="6" t="str">
        <f t="shared" si="13"/>
        <v>临床医学</v>
      </c>
      <c r="H47" s="6" t="str">
        <f t="shared" si="15"/>
        <v>本科</v>
      </c>
      <c r="I47" s="8" t="s">
        <v>12</v>
      </c>
    </row>
    <row r="48" spans="1:9" ht="24" customHeight="1">
      <c r="A48" s="5">
        <v>46</v>
      </c>
      <c r="B48" s="6" t="s">
        <v>14</v>
      </c>
      <c r="C48" s="6" t="str">
        <f>"李花"</f>
        <v>李花</v>
      </c>
      <c r="D48" s="6" t="str">
        <f t="shared" si="18"/>
        <v>女</v>
      </c>
      <c r="E48" s="6" t="str">
        <f>"1987-09-07"</f>
        <v>1987-09-07</v>
      </c>
      <c r="F48" s="6" t="str">
        <f>"延安大学"</f>
        <v>延安大学</v>
      </c>
      <c r="G48" s="6" t="str">
        <f aca="true" t="shared" si="19" ref="G48:G55">"临床医学"</f>
        <v>临床医学</v>
      </c>
      <c r="H48" s="6" t="str">
        <f t="shared" si="15"/>
        <v>本科</v>
      </c>
      <c r="I48" s="8" t="s">
        <v>12</v>
      </c>
    </row>
    <row r="49" spans="1:9" ht="24" customHeight="1">
      <c r="A49" s="5">
        <v>47</v>
      </c>
      <c r="B49" s="6" t="s">
        <v>14</v>
      </c>
      <c r="C49" s="6" t="str">
        <f>"陈奕志"</f>
        <v>陈奕志</v>
      </c>
      <c r="D49" s="6" t="str">
        <f aca="true" t="shared" si="20" ref="D49:D53">"男"</f>
        <v>男</v>
      </c>
      <c r="E49" s="6" t="str">
        <f>"1992-10-04"</f>
        <v>1992-10-04</v>
      </c>
      <c r="F49" s="6" t="str">
        <f>"内蒙古医科大学"</f>
        <v>内蒙古医科大学</v>
      </c>
      <c r="G49" s="6" t="str">
        <f t="shared" si="19"/>
        <v>临床医学</v>
      </c>
      <c r="H49" s="6" t="str">
        <f t="shared" si="15"/>
        <v>本科</v>
      </c>
      <c r="I49" s="8" t="s">
        <v>12</v>
      </c>
    </row>
    <row r="50" spans="1:9" ht="24" customHeight="1">
      <c r="A50" s="5">
        <v>48</v>
      </c>
      <c r="B50" s="6" t="s">
        <v>14</v>
      </c>
      <c r="C50" s="6" t="str">
        <f>"梁方宇"</f>
        <v>梁方宇</v>
      </c>
      <c r="D50" s="6" t="str">
        <f t="shared" si="20"/>
        <v>男</v>
      </c>
      <c r="E50" s="6" t="str">
        <f>"1986-07-29"</f>
        <v>1986-07-29</v>
      </c>
      <c r="F50" s="6" t="str">
        <f aca="true" t="shared" si="21" ref="F50:F54">"海南医学院"</f>
        <v>海南医学院</v>
      </c>
      <c r="G50" s="6" t="str">
        <f t="shared" si="19"/>
        <v>临床医学</v>
      </c>
      <c r="H50" s="6" t="str">
        <f t="shared" si="15"/>
        <v>本科</v>
      </c>
      <c r="I50" s="8" t="s">
        <v>12</v>
      </c>
    </row>
    <row r="51" spans="1:9" ht="24" customHeight="1">
      <c r="A51" s="5">
        <v>49</v>
      </c>
      <c r="B51" s="6" t="s">
        <v>14</v>
      </c>
      <c r="C51" s="6" t="str">
        <f>"陈蕊"</f>
        <v>陈蕊</v>
      </c>
      <c r="D51" s="6" t="str">
        <f aca="true" t="shared" si="22" ref="D51:D55">"女"</f>
        <v>女</v>
      </c>
      <c r="E51" s="6" t="str">
        <f>"1988-08-22"</f>
        <v>1988-08-22</v>
      </c>
      <c r="F51" s="6" t="str">
        <f>"河北联合大学冀唐学院"</f>
        <v>河北联合大学冀唐学院</v>
      </c>
      <c r="G51" s="6" t="str">
        <f t="shared" si="19"/>
        <v>临床医学</v>
      </c>
      <c r="H51" s="6" t="str">
        <f t="shared" si="15"/>
        <v>本科</v>
      </c>
      <c r="I51" s="8" t="s">
        <v>12</v>
      </c>
    </row>
    <row r="52" spans="1:9" ht="24" customHeight="1">
      <c r="A52" s="5">
        <v>50</v>
      </c>
      <c r="B52" s="6" t="s">
        <v>14</v>
      </c>
      <c r="C52" s="6" t="str">
        <f>"王华森"</f>
        <v>王华森</v>
      </c>
      <c r="D52" s="6" t="str">
        <f t="shared" si="20"/>
        <v>男</v>
      </c>
      <c r="E52" s="6" t="str">
        <f>"1986-04-12"</f>
        <v>1986-04-12</v>
      </c>
      <c r="F52" s="6" t="str">
        <f>"大理学院"</f>
        <v>大理学院</v>
      </c>
      <c r="G52" s="6" t="str">
        <f t="shared" si="19"/>
        <v>临床医学</v>
      </c>
      <c r="H52" s="6" t="str">
        <f t="shared" si="15"/>
        <v>本科</v>
      </c>
      <c r="I52" s="8" t="s">
        <v>12</v>
      </c>
    </row>
    <row r="53" spans="1:9" ht="24" customHeight="1">
      <c r="A53" s="5">
        <v>51</v>
      </c>
      <c r="B53" s="6" t="s">
        <v>14</v>
      </c>
      <c r="C53" s="6" t="str">
        <f>"陈儒孝"</f>
        <v>陈儒孝</v>
      </c>
      <c r="D53" s="6" t="str">
        <f t="shared" si="20"/>
        <v>男</v>
      </c>
      <c r="E53" s="6" t="str">
        <f>"1994-05-26"</f>
        <v>1994-05-26</v>
      </c>
      <c r="F53" s="6" t="str">
        <f t="shared" si="21"/>
        <v>海南医学院</v>
      </c>
      <c r="G53" s="6" t="str">
        <f t="shared" si="19"/>
        <v>临床医学</v>
      </c>
      <c r="H53" s="6" t="str">
        <f t="shared" si="15"/>
        <v>本科</v>
      </c>
      <c r="I53" s="8" t="s">
        <v>12</v>
      </c>
    </row>
    <row r="54" spans="1:9" ht="24" customHeight="1">
      <c r="A54" s="5">
        <v>52</v>
      </c>
      <c r="B54" s="6" t="s">
        <v>14</v>
      </c>
      <c r="C54" s="6" t="str">
        <f>"陈怡君"</f>
        <v>陈怡君</v>
      </c>
      <c r="D54" s="6" t="str">
        <f t="shared" si="22"/>
        <v>女</v>
      </c>
      <c r="E54" s="6" t="str">
        <f>"1997-06-16"</f>
        <v>1997-06-16</v>
      </c>
      <c r="F54" s="6" t="str">
        <f t="shared" si="21"/>
        <v>海南医学院</v>
      </c>
      <c r="G54" s="6" t="str">
        <f t="shared" si="19"/>
        <v>临床医学</v>
      </c>
      <c r="H54" s="6" t="str">
        <f t="shared" si="15"/>
        <v>本科</v>
      </c>
      <c r="I54" s="8" t="s">
        <v>16</v>
      </c>
    </row>
    <row r="55" spans="1:9" ht="24" customHeight="1">
      <c r="A55" s="5">
        <v>53</v>
      </c>
      <c r="B55" s="6" t="s">
        <v>14</v>
      </c>
      <c r="C55" s="6" t="str">
        <f>"杜燕君"</f>
        <v>杜燕君</v>
      </c>
      <c r="D55" s="6" t="str">
        <f t="shared" si="22"/>
        <v>女</v>
      </c>
      <c r="E55" s="6" t="str">
        <f>"1991-02-11"</f>
        <v>1991-02-11</v>
      </c>
      <c r="F55" s="6" t="str">
        <f>"河北医科大学临床学院"</f>
        <v>河北医科大学临床学院</v>
      </c>
      <c r="G55" s="6" t="str">
        <f t="shared" si="19"/>
        <v>临床医学</v>
      </c>
      <c r="H55" s="6" t="str">
        <f t="shared" si="15"/>
        <v>本科</v>
      </c>
      <c r="I55" s="8" t="s">
        <v>12</v>
      </c>
    </row>
    <row r="56" spans="1:9" ht="24" customHeight="1">
      <c r="A56" s="5">
        <v>54</v>
      </c>
      <c r="B56" s="6" t="s">
        <v>14</v>
      </c>
      <c r="C56" s="6" t="str">
        <f>"梁禄维"</f>
        <v>梁禄维</v>
      </c>
      <c r="D56" s="6" t="str">
        <f aca="true" t="shared" si="23" ref="D56:D61">"男"</f>
        <v>男</v>
      </c>
      <c r="E56" s="6" t="str">
        <f>"1990-03-10"</f>
        <v>1990-03-10</v>
      </c>
      <c r="F56" s="6" t="str">
        <f>"川北医学院"</f>
        <v>川北医学院</v>
      </c>
      <c r="G56" s="6" t="str">
        <f>" 临床医学"</f>
        <v> 临床医学</v>
      </c>
      <c r="H56" s="6" t="str">
        <f t="shared" si="15"/>
        <v>本科</v>
      </c>
      <c r="I56" s="8" t="s">
        <v>12</v>
      </c>
    </row>
    <row r="57" spans="1:9" ht="24" customHeight="1">
      <c r="A57" s="5">
        <v>55</v>
      </c>
      <c r="B57" s="6" t="s">
        <v>14</v>
      </c>
      <c r="C57" s="6" t="str">
        <f>"陈芳"</f>
        <v>陈芳</v>
      </c>
      <c r="D57" s="6" t="str">
        <f aca="true" t="shared" si="24" ref="D57:D59">"女"</f>
        <v>女</v>
      </c>
      <c r="E57" s="6" t="str">
        <f>"1992-01-02"</f>
        <v>1992-01-02</v>
      </c>
      <c r="F57" s="6" t="str">
        <f>"海南医学院"</f>
        <v>海南医学院</v>
      </c>
      <c r="G57" s="6" t="str">
        <f aca="true" t="shared" si="25" ref="G57:G64">"临床医学"</f>
        <v>临床医学</v>
      </c>
      <c r="H57" s="6" t="str">
        <f t="shared" si="15"/>
        <v>本科</v>
      </c>
      <c r="I57" s="8" t="s">
        <v>12</v>
      </c>
    </row>
    <row r="58" spans="1:9" ht="24" customHeight="1">
      <c r="A58" s="5">
        <v>56</v>
      </c>
      <c r="B58" s="6" t="s">
        <v>14</v>
      </c>
      <c r="C58" s="6" t="str">
        <f>"曾东兰"</f>
        <v>曾东兰</v>
      </c>
      <c r="D58" s="6" t="str">
        <f t="shared" si="24"/>
        <v>女</v>
      </c>
      <c r="E58" s="6" t="str">
        <f>"1994-01-08"</f>
        <v>1994-01-08</v>
      </c>
      <c r="F58" s="6" t="str">
        <f>"川北医学院"</f>
        <v>川北医学院</v>
      </c>
      <c r="G58" s="6" t="str">
        <f t="shared" si="25"/>
        <v>临床医学</v>
      </c>
      <c r="H58" s="6" t="str">
        <f t="shared" si="15"/>
        <v>本科</v>
      </c>
      <c r="I58" s="8" t="s">
        <v>12</v>
      </c>
    </row>
    <row r="59" spans="1:9" ht="24" customHeight="1">
      <c r="A59" s="5">
        <v>57</v>
      </c>
      <c r="B59" s="6" t="s">
        <v>14</v>
      </c>
      <c r="C59" s="6" t="str">
        <f>"王凡"</f>
        <v>王凡</v>
      </c>
      <c r="D59" s="6" t="str">
        <f t="shared" si="24"/>
        <v>女</v>
      </c>
      <c r="E59" s="6" t="str">
        <f>"1988-07-19"</f>
        <v>1988-07-19</v>
      </c>
      <c r="F59" s="6" t="str">
        <f>"沈阳医学院"</f>
        <v>沈阳医学院</v>
      </c>
      <c r="G59" s="6" t="str">
        <f t="shared" si="25"/>
        <v>临床医学</v>
      </c>
      <c r="H59" s="6" t="str">
        <f t="shared" si="15"/>
        <v>本科</v>
      </c>
      <c r="I59" s="8" t="s">
        <v>12</v>
      </c>
    </row>
    <row r="60" spans="1:9" ht="24" customHeight="1">
      <c r="A60" s="5">
        <v>58</v>
      </c>
      <c r="B60" s="6" t="s">
        <v>14</v>
      </c>
      <c r="C60" s="6" t="str">
        <f>"黄乃浩"</f>
        <v>黄乃浩</v>
      </c>
      <c r="D60" s="6" t="str">
        <f t="shared" si="23"/>
        <v>男</v>
      </c>
      <c r="E60" s="6" t="str">
        <f>"1994-09-29"</f>
        <v>1994-09-29</v>
      </c>
      <c r="F60" s="6" t="str">
        <f>"重庆医科大学"</f>
        <v>重庆医科大学</v>
      </c>
      <c r="G60" s="6" t="str">
        <f t="shared" si="25"/>
        <v>临床医学</v>
      </c>
      <c r="H60" s="6" t="str">
        <f t="shared" si="15"/>
        <v>本科</v>
      </c>
      <c r="I60" s="8" t="s">
        <v>12</v>
      </c>
    </row>
    <row r="61" spans="1:9" ht="24" customHeight="1">
      <c r="A61" s="5">
        <v>59</v>
      </c>
      <c r="B61" s="6" t="s">
        <v>14</v>
      </c>
      <c r="C61" s="6" t="str">
        <f>"陈关欢"</f>
        <v>陈关欢</v>
      </c>
      <c r="D61" s="6" t="str">
        <f t="shared" si="23"/>
        <v>男</v>
      </c>
      <c r="E61" s="6" t="str">
        <f>"1994-08-25"</f>
        <v>1994-08-25</v>
      </c>
      <c r="F61" s="6" t="str">
        <f>"海南医学院"</f>
        <v>海南医学院</v>
      </c>
      <c r="G61" s="6" t="str">
        <f t="shared" si="25"/>
        <v>临床医学</v>
      </c>
      <c r="H61" s="6" t="str">
        <f t="shared" si="15"/>
        <v>本科</v>
      </c>
      <c r="I61" s="8" t="s">
        <v>12</v>
      </c>
    </row>
    <row r="62" spans="1:9" ht="24" customHeight="1">
      <c r="A62" s="5">
        <v>60</v>
      </c>
      <c r="B62" s="6" t="s">
        <v>14</v>
      </c>
      <c r="C62" s="6" t="str">
        <f>"陈小雪"</f>
        <v>陈小雪</v>
      </c>
      <c r="D62" s="6" t="str">
        <f aca="true" t="shared" si="26" ref="D62:D65">"女"</f>
        <v>女</v>
      </c>
      <c r="E62" s="6" t="str">
        <f>"1991-11-09"</f>
        <v>1991-11-09</v>
      </c>
      <c r="F62" s="6" t="str">
        <f>"河北医科大学临床学院"</f>
        <v>河北医科大学临床学院</v>
      </c>
      <c r="G62" s="6" t="str">
        <f t="shared" si="25"/>
        <v>临床医学</v>
      </c>
      <c r="H62" s="6" t="str">
        <f t="shared" si="15"/>
        <v>本科</v>
      </c>
      <c r="I62" s="8" t="s">
        <v>12</v>
      </c>
    </row>
    <row r="63" spans="1:9" ht="24" customHeight="1">
      <c r="A63" s="5">
        <v>61</v>
      </c>
      <c r="B63" s="6" t="s">
        <v>14</v>
      </c>
      <c r="C63" s="6" t="str">
        <f>"李小兰"</f>
        <v>李小兰</v>
      </c>
      <c r="D63" s="6" t="str">
        <f t="shared" si="26"/>
        <v>女</v>
      </c>
      <c r="E63" s="6" t="str">
        <f>"1990-02-26"</f>
        <v>1990-02-26</v>
      </c>
      <c r="F63" s="6" t="str">
        <f>"三峡大学"</f>
        <v>三峡大学</v>
      </c>
      <c r="G63" s="6" t="str">
        <f t="shared" si="25"/>
        <v>临床医学</v>
      </c>
      <c r="H63" s="6" t="str">
        <f t="shared" si="15"/>
        <v>本科</v>
      </c>
      <c r="I63" s="8" t="s">
        <v>12</v>
      </c>
    </row>
    <row r="64" spans="1:9" ht="24" customHeight="1">
      <c r="A64" s="5">
        <v>62</v>
      </c>
      <c r="B64" s="6" t="s">
        <v>14</v>
      </c>
      <c r="C64" s="6" t="str">
        <f>"黄文昱"</f>
        <v>黄文昱</v>
      </c>
      <c r="D64" s="6" t="str">
        <f t="shared" si="26"/>
        <v>女</v>
      </c>
      <c r="E64" s="6" t="str">
        <f>"1990-04-16"</f>
        <v>1990-04-16</v>
      </c>
      <c r="F64" s="6" t="str">
        <f>"潍坊医学院"</f>
        <v>潍坊医学院</v>
      </c>
      <c r="G64" s="6" t="str">
        <f t="shared" si="25"/>
        <v>临床医学</v>
      </c>
      <c r="H64" s="6" t="str">
        <f t="shared" si="15"/>
        <v>本科</v>
      </c>
      <c r="I64" s="8" t="s">
        <v>12</v>
      </c>
    </row>
    <row r="65" spans="1:9" ht="24" customHeight="1">
      <c r="A65" s="5">
        <v>63</v>
      </c>
      <c r="B65" s="6" t="s">
        <v>17</v>
      </c>
      <c r="C65" s="6" t="str">
        <f>"梁小艾"</f>
        <v>梁小艾</v>
      </c>
      <c r="D65" s="6" t="str">
        <f t="shared" si="26"/>
        <v>女</v>
      </c>
      <c r="E65" s="6" t="str">
        <f>"1994-12-19"</f>
        <v>1994-12-19</v>
      </c>
      <c r="F65" s="6" t="str">
        <f>"成都体育学院"</f>
        <v>成都体育学院</v>
      </c>
      <c r="G65" s="6" t="str">
        <f>"运动康复"</f>
        <v>运动康复</v>
      </c>
      <c r="H65" s="6" t="str">
        <f t="shared" si="15"/>
        <v>本科</v>
      </c>
      <c r="I65" s="8" t="s">
        <v>12</v>
      </c>
    </row>
    <row r="66" spans="1:9" ht="24" customHeight="1">
      <c r="A66" s="5">
        <v>64</v>
      </c>
      <c r="B66" s="6" t="s">
        <v>17</v>
      </c>
      <c r="C66" s="6" t="str">
        <f>"张照鑫"</f>
        <v>张照鑫</v>
      </c>
      <c r="D66" s="6" t="str">
        <f aca="true" t="shared" si="27" ref="D66:D72">"男"</f>
        <v>男</v>
      </c>
      <c r="E66" s="6" t="str">
        <f>"1998-01-13"</f>
        <v>1998-01-13</v>
      </c>
      <c r="F66" s="6" t="str">
        <f>"东北师范大学人文学院"</f>
        <v>东北师范大学人文学院</v>
      </c>
      <c r="G66" s="6" t="str">
        <f>"康复治疗专业"</f>
        <v>康复治疗专业</v>
      </c>
      <c r="H66" s="6" t="str">
        <f t="shared" si="15"/>
        <v>本科</v>
      </c>
      <c r="I66" s="8" t="s">
        <v>16</v>
      </c>
    </row>
    <row r="67" spans="1:9" ht="24" customHeight="1">
      <c r="A67" s="5">
        <v>65</v>
      </c>
      <c r="B67" s="6" t="s">
        <v>17</v>
      </c>
      <c r="C67" s="6" t="str">
        <f>"李如大"</f>
        <v>李如大</v>
      </c>
      <c r="D67" s="6" t="str">
        <f t="shared" si="27"/>
        <v>男</v>
      </c>
      <c r="E67" s="6" t="str">
        <f>"1997-11-23"</f>
        <v>1997-11-23</v>
      </c>
      <c r="F67" s="6" t="str">
        <f>"山西医科大学"</f>
        <v>山西医科大学</v>
      </c>
      <c r="G67" s="6" t="str">
        <f aca="true" t="shared" si="28" ref="G67:G71">"康复治疗学"</f>
        <v>康复治疗学</v>
      </c>
      <c r="H67" s="6" t="str">
        <f t="shared" si="15"/>
        <v>本科</v>
      </c>
      <c r="I67" s="8" t="s">
        <v>16</v>
      </c>
    </row>
    <row r="68" spans="1:9" ht="24" customHeight="1">
      <c r="A68" s="5">
        <v>66</v>
      </c>
      <c r="B68" s="6" t="s">
        <v>17</v>
      </c>
      <c r="C68" s="6" t="str">
        <f>"王天宇"</f>
        <v>王天宇</v>
      </c>
      <c r="D68" s="6" t="str">
        <f t="shared" si="27"/>
        <v>男</v>
      </c>
      <c r="E68" s="6" t="str">
        <f>"1998-02-06"</f>
        <v>1998-02-06</v>
      </c>
      <c r="F68" s="6" t="str">
        <f>"长春科技学院"</f>
        <v>长春科技学院</v>
      </c>
      <c r="G68" s="6" t="str">
        <f t="shared" si="28"/>
        <v>康复治疗学</v>
      </c>
      <c r="H68" s="6" t="str">
        <f t="shared" si="15"/>
        <v>本科</v>
      </c>
      <c r="I68" s="8" t="s">
        <v>16</v>
      </c>
    </row>
    <row r="69" spans="1:9" ht="24" customHeight="1">
      <c r="A69" s="5">
        <v>67</v>
      </c>
      <c r="B69" s="6" t="s">
        <v>17</v>
      </c>
      <c r="C69" s="6" t="str">
        <f>"黄奕冠"</f>
        <v>黄奕冠</v>
      </c>
      <c r="D69" s="6" t="str">
        <f t="shared" si="27"/>
        <v>男</v>
      </c>
      <c r="E69" s="6" t="str">
        <f>"1995-01-12"</f>
        <v>1995-01-12</v>
      </c>
      <c r="F69" s="6" t="str">
        <f>"海南医学院"</f>
        <v>海南医学院</v>
      </c>
      <c r="G69" s="6" t="str">
        <f t="shared" si="28"/>
        <v>康复治疗学</v>
      </c>
      <c r="H69" s="6" t="str">
        <f t="shared" si="15"/>
        <v>本科</v>
      </c>
      <c r="I69" s="8" t="s">
        <v>16</v>
      </c>
    </row>
    <row r="70" spans="1:9" ht="24" customHeight="1">
      <c r="A70" s="5">
        <v>68</v>
      </c>
      <c r="B70" s="6" t="s">
        <v>17</v>
      </c>
      <c r="C70" s="6" t="str">
        <f>"符先亮"</f>
        <v>符先亮</v>
      </c>
      <c r="D70" s="6" t="str">
        <f t="shared" si="27"/>
        <v>男</v>
      </c>
      <c r="E70" s="6" t="str">
        <f>"1998-03-19"</f>
        <v>1998-03-19</v>
      </c>
      <c r="F70" s="6" t="str">
        <f>"桂林医学院"</f>
        <v>桂林医学院</v>
      </c>
      <c r="G70" s="6" t="str">
        <f t="shared" si="28"/>
        <v>康复治疗学</v>
      </c>
      <c r="H70" s="6" t="str">
        <f t="shared" si="15"/>
        <v>本科</v>
      </c>
      <c r="I70" s="8" t="s">
        <v>16</v>
      </c>
    </row>
    <row r="71" spans="1:9" ht="24" customHeight="1">
      <c r="A71" s="5">
        <v>69</v>
      </c>
      <c r="B71" s="6" t="s">
        <v>17</v>
      </c>
      <c r="C71" s="6" t="str">
        <f>"刘衍铭"</f>
        <v>刘衍铭</v>
      </c>
      <c r="D71" s="6" t="str">
        <f t="shared" si="27"/>
        <v>男</v>
      </c>
      <c r="E71" s="6" t="str">
        <f>"1997-07-22"</f>
        <v>1997-07-22</v>
      </c>
      <c r="F71" s="6" t="str">
        <f>"赣南医学院"</f>
        <v>赣南医学院</v>
      </c>
      <c r="G71" s="6" t="str">
        <f t="shared" si="28"/>
        <v>康复治疗学</v>
      </c>
      <c r="H71" s="6" t="str">
        <f t="shared" si="15"/>
        <v>本科</v>
      </c>
      <c r="I71" s="8" t="s">
        <v>16</v>
      </c>
    </row>
    <row r="72" spans="1:9" ht="24" customHeight="1">
      <c r="A72" s="5">
        <v>70</v>
      </c>
      <c r="B72" s="6" t="s">
        <v>17</v>
      </c>
      <c r="C72" s="6" t="str">
        <f>"韦嘉才"</f>
        <v>韦嘉才</v>
      </c>
      <c r="D72" s="6" t="str">
        <f t="shared" si="27"/>
        <v>男</v>
      </c>
      <c r="E72" s="6" t="str">
        <f>"1998-08-04"</f>
        <v>1998-08-04</v>
      </c>
      <c r="F72" s="6" t="str">
        <f>"赣南医学院"</f>
        <v>赣南医学院</v>
      </c>
      <c r="G72" s="6" t="str">
        <f>"康复治疗专业"</f>
        <v>康复治疗专业</v>
      </c>
      <c r="H72" s="6" t="str">
        <f t="shared" si="15"/>
        <v>本科</v>
      </c>
      <c r="I72" s="8" t="s">
        <v>16</v>
      </c>
    </row>
    <row r="73" spans="1:9" ht="24" customHeight="1">
      <c r="A73" s="5">
        <v>71</v>
      </c>
      <c r="B73" s="6" t="s">
        <v>18</v>
      </c>
      <c r="C73" s="6" t="str">
        <f>"梁思琪"</f>
        <v>梁思琪</v>
      </c>
      <c r="D73" s="6" t="str">
        <f aca="true" t="shared" si="29" ref="D73:D80">"女"</f>
        <v>女</v>
      </c>
      <c r="E73" s="6" t="str">
        <f>"1998-08-21"</f>
        <v>1998-08-21</v>
      </c>
      <c r="F73" s="6" t="str">
        <f>"长春科技学院"</f>
        <v>长春科技学院</v>
      </c>
      <c r="G73" s="6" t="str">
        <f aca="true" t="shared" si="30" ref="G73:G80">"康复治疗学"</f>
        <v>康复治疗学</v>
      </c>
      <c r="H73" s="6" t="str">
        <f t="shared" si="15"/>
        <v>本科</v>
      </c>
      <c r="I73" s="8" t="s">
        <v>16</v>
      </c>
    </row>
    <row r="74" spans="1:9" ht="24" customHeight="1">
      <c r="A74" s="5">
        <v>72</v>
      </c>
      <c r="B74" s="6" t="s">
        <v>18</v>
      </c>
      <c r="C74" s="6" t="str">
        <f>"王秋红"</f>
        <v>王秋红</v>
      </c>
      <c r="D74" s="6" t="str">
        <f t="shared" si="29"/>
        <v>女</v>
      </c>
      <c r="E74" s="6" t="str">
        <f>"1994-03-10"</f>
        <v>1994-03-10</v>
      </c>
      <c r="F74" s="6" t="str">
        <f>"昆明医科大学"</f>
        <v>昆明医科大学</v>
      </c>
      <c r="G74" s="6" t="str">
        <f t="shared" si="30"/>
        <v>康复治疗学</v>
      </c>
      <c r="H74" s="6" t="str">
        <f t="shared" si="15"/>
        <v>本科</v>
      </c>
      <c r="I74" s="8" t="s">
        <v>12</v>
      </c>
    </row>
    <row r="75" spans="1:9" ht="24" customHeight="1">
      <c r="A75" s="5">
        <v>73</v>
      </c>
      <c r="B75" s="6" t="s">
        <v>18</v>
      </c>
      <c r="C75" s="6" t="str">
        <f>"李沐曦"</f>
        <v>李沐曦</v>
      </c>
      <c r="D75" s="6" t="str">
        <f t="shared" si="29"/>
        <v>女</v>
      </c>
      <c r="E75" s="6" t="str">
        <f>"1997-10-03"</f>
        <v>1997-10-03</v>
      </c>
      <c r="F75" s="6" t="str">
        <f>"广东医科大学"</f>
        <v>广东医科大学</v>
      </c>
      <c r="G75" s="6" t="str">
        <f t="shared" si="30"/>
        <v>康复治疗学</v>
      </c>
      <c r="H75" s="6" t="str">
        <f t="shared" si="15"/>
        <v>本科</v>
      </c>
      <c r="I75" s="8" t="s">
        <v>16</v>
      </c>
    </row>
    <row r="76" spans="1:9" ht="24" customHeight="1">
      <c r="A76" s="5">
        <v>74</v>
      </c>
      <c r="B76" s="6" t="s">
        <v>18</v>
      </c>
      <c r="C76" s="6" t="str">
        <f>"郑力孟"</f>
        <v>郑力孟</v>
      </c>
      <c r="D76" s="6" t="str">
        <f t="shared" si="29"/>
        <v>女</v>
      </c>
      <c r="E76" s="6" t="str">
        <f>"1997-12-21"</f>
        <v>1997-12-21</v>
      </c>
      <c r="F76" s="6" t="str">
        <f>"山西医科大学"</f>
        <v>山西医科大学</v>
      </c>
      <c r="G76" s="6" t="str">
        <f t="shared" si="30"/>
        <v>康复治疗学</v>
      </c>
      <c r="H76" s="6" t="str">
        <f t="shared" si="15"/>
        <v>本科</v>
      </c>
      <c r="I76" s="8" t="s">
        <v>16</v>
      </c>
    </row>
    <row r="77" spans="1:9" ht="24" customHeight="1">
      <c r="A77" s="5">
        <v>75</v>
      </c>
      <c r="B77" s="6" t="s">
        <v>18</v>
      </c>
      <c r="C77" s="6" t="str">
        <f>"卢冰清"</f>
        <v>卢冰清</v>
      </c>
      <c r="D77" s="6" t="str">
        <f t="shared" si="29"/>
        <v>女</v>
      </c>
      <c r="E77" s="6" t="str">
        <f>"1997-11-29"</f>
        <v>1997-11-29</v>
      </c>
      <c r="F77" s="6" t="str">
        <f>"海南医学院"</f>
        <v>海南医学院</v>
      </c>
      <c r="G77" s="6" t="str">
        <f t="shared" si="30"/>
        <v>康复治疗学</v>
      </c>
      <c r="H77" s="6" t="str">
        <f t="shared" si="15"/>
        <v>本科</v>
      </c>
      <c r="I77" s="8" t="s">
        <v>16</v>
      </c>
    </row>
    <row r="78" spans="1:9" ht="24" customHeight="1">
      <c r="A78" s="5">
        <v>76</v>
      </c>
      <c r="B78" s="6" t="s">
        <v>18</v>
      </c>
      <c r="C78" s="6" t="str">
        <f>"王妚燕"</f>
        <v>王妚燕</v>
      </c>
      <c r="D78" s="6" t="str">
        <f t="shared" si="29"/>
        <v>女</v>
      </c>
      <c r="E78" s="6" t="str">
        <f>"1997-09-16"</f>
        <v>1997-09-16</v>
      </c>
      <c r="F78" s="6" t="str">
        <f>"赣南医学院"</f>
        <v>赣南医学院</v>
      </c>
      <c r="G78" s="6" t="str">
        <f t="shared" si="30"/>
        <v>康复治疗学</v>
      </c>
      <c r="H78" s="6" t="str">
        <f t="shared" si="15"/>
        <v>本科</v>
      </c>
      <c r="I78" s="8" t="s">
        <v>16</v>
      </c>
    </row>
    <row r="79" spans="1:9" ht="24" customHeight="1">
      <c r="A79" s="5">
        <v>77</v>
      </c>
      <c r="B79" s="6" t="s">
        <v>18</v>
      </c>
      <c r="C79" s="6" t="str">
        <f>"唐锡兰"</f>
        <v>唐锡兰</v>
      </c>
      <c r="D79" s="6" t="str">
        <f t="shared" si="29"/>
        <v>女</v>
      </c>
      <c r="E79" s="6" t="str">
        <f>"1994-05-21"</f>
        <v>1994-05-21</v>
      </c>
      <c r="F79" s="6" t="str">
        <f>"山西中医药大学"</f>
        <v>山西中医药大学</v>
      </c>
      <c r="G79" s="6" t="str">
        <f t="shared" si="30"/>
        <v>康复治疗学</v>
      </c>
      <c r="H79" s="6" t="str">
        <f t="shared" si="15"/>
        <v>本科</v>
      </c>
      <c r="I79" s="8" t="s">
        <v>12</v>
      </c>
    </row>
    <row r="80" spans="1:9" ht="24" customHeight="1">
      <c r="A80" s="5">
        <v>78</v>
      </c>
      <c r="B80" s="6" t="s">
        <v>18</v>
      </c>
      <c r="C80" s="6" t="str">
        <f>"陈增雪"</f>
        <v>陈增雪</v>
      </c>
      <c r="D80" s="6" t="str">
        <f t="shared" si="29"/>
        <v>女</v>
      </c>
      <c r="E80" s="6" t="str">
        <f>"1998-03-01"</f>
        <v>1998-03-01</v>
      </c>
      <c r="F80" s="6" t="str">
        <f>"海南医学院"</f>
        <v>海南医学院</v>
      </c>
      <c r="G80" s="6" t="str">
        <f t="shared" si="30"/>
        <v>康复治疗学</v>
      </c>
      <c r="H80" s="6" t="str">
        <f t="shared" si="15"/>
        <v>本科</v>
      </c>
      <c r="I80" s="8" t="s">
        <v>16</v>
      </c>
    </row>
    <row r="81" spans="1:9" ht="24" customHeight="1">
      <c r="A81" s="5">
        <v>79</v>
      </c>
      <c r="B81" s="6" t="s">
        <v>19</v>
      </c>
      <c r="C81" s="6" t="str">
        <f>"孙桓"</f>
        <v>孙桓</v>
      </c>
      <c r="D81" s="6" t="str">
        <f aca="true" t="shared" si="31" ref="D81:D83">"男"</f>
        <v>男</v>
      </c>
      <c r="E81" s="6" t="str">
        <f>"1991-09-07"</f>
        <v>1991-09-07</v>
      </c>
      <c r="F81" s="6" t="str">
        <f>"北京体育大学"</f>
        <v>北京体育大学</v>
      </c>
      <c r="G81" s="6" t="str">
        <f>"运动康复与健康"</f>
        <v>运动康复与健康</v>
      </c>
      <c r="H81" s="6" t="str">
        <f t="shared" si="15"/>
        <v>本科</v>
      </c>
      <c r="I81" s="8" t="s">
        <v>12</v>
      </c>
    </row>
    <row r="82" spans="1:9" ht="24" customHeight="1">
      <c r="A82" s="5">
        <v>80</v>
      </c>
      <c r="B82" s="6" t="s">
        <v>19</v>
      </c>
      <c r="C82" s="6" t="str">
        <f>"刘峻屹"</f>
        <v>刘峻屹</v>
      </c>
      <c r="D82" s="6" t="str">
        <f t="shared" si="31"/>
        <v>男</v>
      </c>
      <c r="E82" s="6" t="str">
        <f>"1999-06-27"</f>
        <v>1999-06-27</v>
      </c>
      <c r="F82" s="6" t="str">
        <f>"大庆医学高等专科学校"</f>
        <v>大庆医学高等专科学校</v>
      </c>
      <c r="G82" s="6" t="str">
        <f>"康复治疗技术"</f>
        <v>康复治疗技术</v>
      </c>
      <c r="H82" s="6" t="str">
        <f>"大专"</f>
        <v>大专</v>
      </c>
      <c r="I82" s="8" t="s">
        <v>16</v>
      </c>
    </row>
    <row r="83" spans="1:9" ht="24" customHeight="1">
      <c r="A83" s="5">
        <v>81</v>
      </c>
      <c r="B83" s="6" t="s">
        <v>19</v>
      </c>
      <c r="C83" s="6" t="str">
        <f>"周祯蔚"</f>
        <v>周祯蔚</v>
      </c>
      <c r="D83" s="6" t="str">
        <f t="shared" si="31"/>
        <v>男</v>
      </c>
      <c r="E83" s="6" t="str">
        <f>"1991-05-12"</f>
        <v>1991-05-12</v>
      </c>
      <c r="F83" s="6" t="str">
        <f>"武汉民政职业学院"</f>
        <v>武汉民政职业学院</v>
      </c>
      <c r="G83" s="6" t="str">
        <f>"康复治疗技术"</f>
        <v>康复治疗技术</v>
      </c>
      <c r="H83" s="6" t="str">
        <f>"大专"</f>
        <v>大专</v>
      </c>
      <c r="I83" s="8" t="s">
        <v>12</v>
      </c>
    </row>
    <row r="84" spans="1:9" ht="24" customHeight="1">
      <c r="A84" s="5">
        <v>82</v>
      </c>
      <c r="B84" s="6" t="s">
        <v>20</v>
      </c>
      <c r="C84" s="6" t="str">
        <f>"林野"</f>
        <v>林野</v>
      </c>
      <c r="D84" s="6" t="str">
        <f aca="true" t="shared" si="32" ref="D84:D91">"女"</f>
        <v>女</v>
      </c>
      <c r="E84" s="6" t="str">
        <f>"1994-07-07"</f>
        <v>1994-07-07</v>
      </c>
      <c r="F84" s="6" t="str">
        <f>"山西中医药大学"</f>
        <v>山西中医药大学</v>
      </c>
      <c r="G84" s="6" t="str">
        <f aca="true" t="shared" si="33" ref="G84:G88">"针灸推拿学"</f>
        <v>针灸推拿学</v>
      </c>
      <c r="H84" s="6" t="str">
        <f aca="true" t="shared" si="34" ref="H84:H87">"本科"</f>
        <v>本科</v>
      </c>
      <c r="I84" s="8" t="s">
        <v>12</v>
      </c>
    </row>
    <row r="85" spans="1:9" ht="24" customHeight="1">
      <c r="A85" s="5">
        <v>83</v>
      </c>
      <c r="B85" s="6" t="s">
        <v>20</v>
      </c>
      <c r="C85" s="6" t="str">
        <f>"李玉秀"</f>
        <v>李玉秀</v>
      </c>
      <c r="D85" s="6" t="str">
        <f t="shared" si="32"/>
        <v>女</v>
      </c>
      <c r="E85" s="6" t="str">
        <f>"1994-06-10"</f>
        <v>1994-06-10</v>
      </c>
      <c r="F85" s="6" t="str">
        <f aca="true" t="shared" si="35" ref="F85:F89">"海南医学院"</f>
        <v>海南医学院</v>
      </c>
      <c r="G85" s="6" t="str">
        <f>"针灸推拿专业"</f>
        <v>针灸推拿专业</v>
      </c>
      <c r="H85" s="6" t="str">
        <f t="shared" si="34"/>
        <v>本科</v>
      </c>
      <c r="I85" s="8" t="s">
        <v>12</v>
      </c>
    </row>
    <row r="86" spans="1:9" ht="24" customHeight="1">
      <c r="A86" s="5">
        <v>84</v>
      </c>
      <c r="B86" s="6" t="s">
        <v>20</v>
      </c>
      <c r="C86" s="6" t="str">
        <f>"李雄清"</f>
        <v>李雄清</v>
      </c>
      <c r="D86" s="6" t="str">
        <f>"男"</f>
        <v>男</v>
      </c>
      <c r="E86" s="6" t="str">
        <f>"1995-05-28"</f>
        <v>1995-05-28</v>
      </c>
      <c r="F86" s="6" t="str">
        <f>"长春中医药大学"</f>
        <v>长春中医药大学</v>
      </c>
      <c r="G86" s="6" t="str">
        <f t="shared" si="33"/>
        <v>针灸推拿学</v>
      </c>
      <c r="H86" s="6" t="str">
        <f t="shared" si="34"/>
        <v>本科</v>
      </c>
      <c r="I86" s="8" t="s">
        <v>16</v>
      </c>
    </row>
    <row r="87" spans="1:9" ht="24" customHeight="1">
      <c r="A87" s="5">
        <v>85</v>
      </c>
      <c r="B87" s="6" t="s">
        <v>20</v>
      </c>
      <c r="C87" s="6" t="str">
        <f>"梁晓叶"</f>
        <v>梁晓叶</v>
      </c>
      <c r="D87" s="6" t="str">
        <f t="shared" si="32"/>
        <v>女</v>
      </c>
      <c r="E87" s="6" t="str">
        <f>"1993-01-20"</f>
        <v>1993-01-20</v>
      </c>
      <c r="F87" s="6" t="str">
        <f t="shared" si="35"/>
        <v>海南医学院</v>
      </c>
      <c r="G87" s="6" t="str">
        <f>"针灸推拿专业"</f>
        <v>针灸推拿专业</v>
      </c>
      <c r="H87" s="6" t="str">
        <f t="shared" si="34"/>
        <v>本科</v>
      </c>
      <c r="I87" s="8" t="s">
        <v>12</v>
      </c>
    </row>
    <row r="88" spans="1:9" ht="24" customHeight="1">
      <c r="A88" s="5">
        <v>86</v>
      </c>
      <c r="B88" s="6" t="s">
        <v>20</v>
      </c>
      <c r="C88" s="6" t="str">
        <f>"赵蕾"</f>
        <v>赵蕾</v>
      </c>
      <c r="D88" s="6" t="str">
        <f t="shared" si="32"/>
        <v>女</v>
      </c>
      <c r="E88" s="6" t="str">
        <f>"1991-11-22"</f>
        <v>1991-11-22</v>
      </c>
      <c r="F88" s="6" t="str">
        <f>"云南中医药大学"</f>
        <v>云南中医药大学</v>
      </c>
      <c r="G88" s="6" t="str">
        <f t="shared" si="33"/>
        <v>针灸推拿学</v>
      </c>
      <c r="H88" s="6" t="str">
        <f>"研究生"</f>
        <v>研究生</v>
      </c>
      <c r="I88" s="8" t="s">
        <v>12</v>
      </c>
    </row>
    <row r="89" spans="1:9" ht="24" customHeight="1">
      <c r="A89" s="5">
        <v>87</v>
      </c>
      <c r="B89" s="6" t="s">
        <v>20</v>
      </c>
      <c r="C89" s="6" t="str">
        <f>"陈攀艳"</f>
        <v>陈攀艳</v>
      </c>
      <c r="D89" s="6" t="str">
        <f t="shared" si="32"/>
        <v>女</v>
      </c>
      <c r="E89" s="6" t="str">
        <f>"1990-11-14"</f>
        <v>1990-11-14</v>
      </c>
      <c r="F89" s="6" t="str">
        <f t="shared" si="35"/>
        <v>海南医学院</v>
      </c>
      <c r="G89" s="6" t="str">
        <f>"针灸推拿"</f>
        <v>针灸推拿</v>
      </c>
      <c r="H89" s="6" t="str">
        <f aca="true" t="shared" si="36" ref="H89:H95">"本科"</f>
        <v>本科</v>
      </c>
      <c r="I89" s="8" t="s">
        <v>12</v>
      </c>
    </row>
    <row r="90" spans="1:9" ht="24" customHeight="1">
      <c r="A90" s="5">
        <v>88</v>
      </c>
      <c r="B90" s="6" t="s">
        <v>20</v>
      </c>
      <c r="C90" s="6" t="str">
        <f>"沈玉玲"</f>
        <v>沈玉玲</v>
      </c>
      <c r="D90" s="6" t="str">
        <f t="shared" si="32"/>
        <v>女</v>
      </c>
      <c r="E90" s="6" t="str">
        <f>"1994-11-10"</f>
        <v>1994-11-10</v>
      </c>
      <c r="F90" s="6" t="str">
        <f>"广西中医药大学"</f>
        <v>广西中医药大学</v>
      </c>
      <c r="G90" s="6" t="str">
        <f aca="true" t="shared" si="37" ref="G90:G94">"针灸推拿学"</f>
        <v>针灸推拿学</v>
      </c>
      <c r="H90" s="6" t="str">
        <f t="shared" si="36"/>
        <v>本科</v>
      </c>
      <c r="I90" s="8" t="s">
        <v>12</v>
      </c>
    </row>
    <row r="91" spans="1:9" ht="24" customHeight="1">
      <c r="A91" s="5">
        <v>89</v>
      </c>
      <c r="B91" s="6" t="s">
        <v>20</v>
      </c>
      <c r="C91" s="6" t="str">
        <f>"黄旭娜"</f>
        <v>黄旭娜</v>
      </c>
      <c r="D91" s="6" t="str">
        <f t="shared" si="32"/>
        <v>女</v>
      </c>
      <c r="E91" s="6" t="str">
        <f>"1993-05-04"</f>
        <v>1993-05-04</v>
      </c>
      <c r="F91" s="6" t="str">
        <f>"湖南中医药大学"</f>
        <v>湖南中医药大学</v>
      </c>
      <c r="G91" s="6" t="str">
        <f t="shared" si="37"/>
        <v>针灸推拿学</v>
      </c>
      <c r="H91" s="6" t="str">
        <f t="shared" si="36"/>
        <v>本科</v>
      </c>
      <c r="I91" s="8" t="s">
        <v>12</v>
      </c>
    </row>
    <row r="92" spans="1:9" ht="24" customHeight="1">
      <c r="A92" s="5">
        <v>90</v>
      </c>
      <c r="B92" s="6" t="s">
        <v>20</v>
      </c>
      <c r="C92" s="6" t="str">
        <f>"王家梁"</f>
        <v>王家梁</v>
      </c>
      <c r="D92" s="6" t="str">
        <f>"男"</f>
        <v>男</v>
      </c>
      <c r="E92" s="6" t="str">
        <f>"1993-11-09"</f>
        <v>1993-11-09</v>
      </c>
      <c r="F92" s="6" t="str">
        <f>"海南医学院"</f>
        <v>海南医学院</v>
      </c>
      <c r="G92" s="6" t="str">
        <f t="shared" si="37"/>
        <v>针灸推拿学</v>
      </c>
      <c r="H92" s="6" t="str">
        <f t="shared" si="36"/>
        <v>本科</v>
      </c>
      <c r="I92" s="8" t="s">
        <v>12</v>
      </c>
    </row>
    <row r="93" spans="1:9" ht="24" customHeight="1">
      <c r="A93" s="5">
        <v>91</v>
      </c>
      <c r="B93" s="6" t="s">
        <v>20</v>
      </c>
      <c r="C93" s="6" t="str">
        <f>"王秋听"</f>
        <v>王秋听</v>
      </c>
      <c r="D93" s="6" t="str">
        <f aca="true" t="shared" si="38" ref="D93:D97">"女"</f>
        <v>女</v>
      </c>
      <c r="E93" s="6" t="str">
        <f>"1991-08-09"</f>
        <v>1991-08-09</v>
      </c>
      <c r="F93" s="6" t="str">
        <f>"江西中医药大学"</f>
        <v>江西中医药大学</v>
      </c>
      <c r="G93" s="6" t="str">
        <f t="shared" si="37"/>
        <v>针灸推拿学</v>
      </c>
      <c r="H93" s="6" t="str">
        <f t="shared" si="36"/>
        <v>本科</v>
      </c>
      <c r="I93" s="8" t="s">
        <v>12</v>
      </c>
    </row>
    <row r="94" spans="1:9" ht="24" customHeight="1">
      <c r="A94" s="5">
        <v>92</v>
      </c>
      <c r="B94" s="6" t="s">
        <v>20</v>
      </c>
      <c r="C94" s="6" t="str">
        <f>"蔡汝春"</f>
        <v>蔡汝春</v>
      </c>
      <c r="D94" s="6" t="str">
        <f>"男"</f>
        <v>男</v>
      </c>
      <c r="E94" s="6" t="str">
        <f>"1991-04-02"</f>
        <v>1991-04-02</v>
      </c>
      <c r="F94" s="6" t="str">
        <f>"黑龙江中医药大学"</f>
        <v>黑龙江中医药大学</v>
      </c>
      <c r="G94" s="6" t="str">
        <f t="shared" si="37"/>
        <v>针灸推拿学</v>
      </c>
      <c r="H94" s="6" t="str">
        <f t="shared" si="36"/>
        <v>本科</v>
      </c>
      <c r="I94" s="8" t="s">
        <v>12</v>
      </c>
    </row>
    <row r="95" spans="1:9" ht="24" customHeight="1">
      <c r="A95" s="5">
        <v>93</v>
      </c>
      <c r="B95" s="6" t="s">
        <v>20</v>
      </c>
      <c r="C95" s="6" t="str">
        <f>"陈莹"</f>
        <v>陈莹</v>
      </c>
      <c r="D95" s="6" t="str">
        <f t="shared" si="38"/>
        <v>女</v>
      </c>
      <c r="E95" s="6" t="str">
        <f>"1991-12-23"</f>
        <v>1991-12-23</v>
      </c>
      <c r="F95" s="6" t="str">
        <f>"海南医学院"</f>
        <v>海南医学院</v>
      </c>
      <c r="G95" s="6" t="str">
        <f>"针灸推拿"</f>
        <v>针灸推拿</v>
      </c>
      <c r="H95" s="6" t="str">
        <f t="shared" si="36"/>
        <v>本科</v>
      </c>
      <c r="I95" s="8" t="s">
        <v>12</v>
      </c>
    </row>
    <row r="96" spans="1:9" ht="24" customHeight="1">
      <c r="A96" s="5">
        <v>94</v>
      </c>
      <c r="B96" s="6" t="s">
        <v>20</v>
      </c>
      <c r="C96" s="6" t="str">
        <f>"李秋妹"</f>
        <v>李秋妹</v>
      </c>
      <c r="D96" s="6" t="str">
        <f t="shared" si="38"/>
        <v>女</v>
      </c>
      <c r="E96" s="6" t="str">
        <f>"1992-03-07"</f>
        <v>1992-03-07</v>
      </c>
      <c r="F96" s="6" t="str">
        <f>"广州中医药大学"</f>
        <v>广州中医药大学</v>
      </c>
      <c r="G96" s="6" t="str">
        <f aca="true" t="shared" si="39" ref="G96:G102">"针灸推拿学"</f>
        <v>针灸推拿学</v>
      </c>
      <c r="H96" s="6" t="str">
        <f>"研究生"</f>
        <v>研究生</v>
      </c>
      <c r="I96" s="8" t="s">
        <v>12</v>
      </c>
    </row>
    <row r="97" spans="1:9" ht="24" customHeight="1">
      <c r="A97" s="5">
        <v>95</v>
      </c>
      <c r="B97" s="6" t="s">
        <v>20</v>
      </c>
      <c r="C97" s="6" t="str">
        <f>"周爱萍"</f>
        <v>周爱萍</v>
      </c>
      <c r="D97" s="6" t="str">
        <f t="shared" si="38"/>
        <v>女</v>
      </c>
      <c r="E97" s="6" t="str">
        <f>"1992-03-11"</f>
        <v>1992-03-11</v>
      </c>
      <c r="F97" s="6" t="str">
        <f>"江西省中医院大学科技学院"</f>
        <v>江西省中医院大学科技学院</v>
      </c>
      <c r="G97" s="6" t="str">
        <f t="shared" si="39"/>
        <v>针灸推拿学</v>
      </c>
      <c r="H97" s="6" t="str">
        <f aca="true" t="shared" si="40" ref="H97:H101">"本科"</f>
        <v>本科</v>
      </c>
      <c r="I97" s="8" t="s">
        <v>12</v>
      </c>
    </row>
    <row r="98" spans="1:9" ht="24" customHeight="1">
      <c r="A98" s="5">
        <v>96</v>
      </c>
      <c r="B98" s="6" t="s">
        <v>20</v>
      </c>
      <c r="C98" s="6" t="str">
        <f>"张子华"</f>
        <v>张子华</v>
      </c>
      <c r="D98" s="6" t="str">
        <f aca="true" t="shared" si="41" ref="D98:D105">"男"</f>
        <v>男</v>
      </c>
      <c r="E98" s="6" t="str">
        <f>"1993-02-03"</f>
        <v>1993-02-03</v>
      </c>
      <c r="F98" s="6" t="str">
        <f>"长春中医药大学"</f>
        <v>长春中医药大学</v>
      </c>
      <c r="G98" s="6" t="str">
        <f>"针灸推拿专业"</f>
        <v>针灸推拿专业</v>
      </c>
      <c r="H98" s="6" t="str">
        <f t="shared" si="40"/>
        <v>本科</v>
      </c>
      <c r="I98" s="8" t="s">
        <v>12</v>
      </c>
    </row>
    <row r="99" spans="1:9" ht="24" customHeight="1">
      <c r="A99" s="5">
        <v>97</v>
      </c>
      <c r="B99" s="6" t="s">
        <v>20</v>
      </c>
      <c r="C99" s="6" t="str">
        <f>"陈玉荣"</f>
        <v>陈玉荣</v>
      </c>
      <c r="D99" s="6" t="str">
        <f aca="true" t="shared" si="42" ref="D99:D102">"女"</f>
        <v>女</v>
      </c>
      <c r="E99" s="6" t="str">
        <f>"1994-08-10"</f>
        <v>1994-08-10</v>
      </c>
      <c r="F99" s="6" t="str">
        <f>"长春中医药大学"</f>
        <v>长春中医药大学</v>
      </c>
      <c r="G99" s="6" t="str">
        <f t="shared" si="39"/>
        <v>针灸推拿学</v>
      </c>
      <c r="H99" s="6" t="str">
        <f t="shared" si="40"/>
        <v>本科</v>
      </c>
      <c r="I99" s="8" t="s">
        <v>12</v>
      </c>
    </row>
    <row r="100" spans="1:9" ht="24" customHeight="1">
      <c r="A100" s="5">
        <v>98</v>
      </c>
      <c r="B100" s="6" t="s">
        <v>20</v>
      </c>
      <c r="C100" s="6" t="str">
        <f>"徐瑞东"</f>
        <v>徐瑞东</v>
      </c>
      <c r="D100" s="6" t="str">
        <f t="shared" si="41"/>
        <v>男</v>
      </c>
      <c r="E100" s="6" t="str">
        <f>"1991-09-13"</f>
        <v>1991-09-13</v>
      </c>
      <c r="F100" s="6" t="str">
        <f>"海南医学院"</f>
        <v>海南医学院</v>
      </c>
      <c r="G100" s="6" t="str">
        <f t="shared" si="39"/>
        <v>针灸推拿学</v>
      </c>
      <c r="H100" s="6" t="str">
        <f t="shared" si="40"/>
        <v>本科</v>
      </c>
      <c r="I100" s="8" t="s">
        <v>12</v>
      </c>
    </row>
    <row r="101" spans="1:9" ht="24" customHeight="1">
      <c r="A101" s="5">
        <v>99</v>
      </c>
      <c r="B101" s="6" t="s">
        <v>20</v>
      </c>
      <c r="C101" s="6" t="str">
        <f>"吴晓虹"</f>
        <v>吴晓虹</v>
      </c>
      <c r="D101" s="6" t="str">
        <f t="shared" si="42"/>
        <v>女</v>
      </c>
      <c r="E101" s="6" t="str">
        <f>"1996-08-23"</f>
        <v>1996-08-23</v>
      </c>
      <c r="F101" s="6" t="str">
        <f>"贵阳中医学院"</f>
        <v>贵阳中医学院</v>
      </c>
      <c r="G101" s="6" t="str">
        <f t="shared" si="39"/>
        <v>针灸推拿学</v>
      </c>
      <c r="H101" s="6" t="str">
        <f t="shared" si="40"/>
        <v>本科</v>
      </c>
      <c r="I101" s="8" t="s">
        <v>12</v>
      </c>
    </row>
    <row r="102" spans="1:9" ht="24" customHeight="1">
      <c r="A102" s="5">
        <v>100</v>
      </c>
      <c r="B102" s="6" t="s">
        <v>20</v>
      </c>
      <c r="C102" s="6" t="str">
        <f>"张蕴之"</f>
        <v>张蕴之</v>
      </c>
      <c r="D102" s="6" t="str">
        <f t="shared" si="42"/>
        <v>女</v>
      </c>
      <c r="E102" s="6" t="str">
        <f>"1994-10-16"</f>
        <v>1994-10-16</v>
      </c>
      <c r="F102" s="6" t="str">
        <f>" 广州中医药大学"</f>
        <v> 广州中医药大学</v>
      </c>
      <c r="G102" s="6" t="str">
        <f t="shared" si="39"/>
        <v>针灸推拿学</v>
      </c>
      <c r="H102" s="6" t="str">
        <f>"研究生"</f>
        <v>研究生</v>
      </c>
      <c r="I102" s="8" t="s">
        <v>16</v>
      </c>
    </row>
    <row r="103" spans="1:9" ht="24" customHeight="1">
      <c r="A103" s="5">
        <v>101</v>
      </c>
      <c r="B103" s="6" t="s">
        <v>21</v>
      </c>
      <c r="C103" s="6" t="str">
        <f>"江成"</f>
        <v>江成</v>
      </c>
      <c r="D103" s="6" t="str">
        <f t="shared" si="41"/>
        <v>男</v>
      </c>
      <c r="E103" s="6" t="str">
        <f>"1996-03-17"</f>
        <v>1996-03-17</v>
      </c>
      <c r="F103" s="6" t="str">
        <f>"北京信息科技大学"</f>
        <v>北京信息科技大学</v>
      </c>
      <c r="G103" s="6" t="str">
        <f>"网络工程"</f>
        <v>网络工程</v>
      </c>
      <c r="H103" s="6" t="str">
        <f aca="true" t="shared" si="43" ref="H103:H111">"本科"</f>
        <v>本科</v>
      </c>
      <c r="I103" s="8" t="s">
        <v>16</v>
      </c>
    </row>
    <row r="104" spans="1:9" ht="24" customHeight="1">
      <c r="A104" s="5">
        <v>102</v>
      </c>
      <c r="B104" s="6" t="s">
        <v>21</v>
      </c>
      <c r="C104" s="6" t="str">
        <f>"陈其浩"</f>
        <v>陈其浩</v>
      </c>
      <c r="D104" s="6" t="str">
        <f t="shared" si="41"/>
        <v>男</v>
      </c>
      <c r="E104" s="6" t="str">
        <f>"1994-06-20"</f>
        <v>1994-06-20</v>
      </c>
      <c r="F104" s="6" t="str">
        <f>"武昌职业学院"</f>
        <v>武昌职业学院</v>
      </c>
      <c r="G104" s="6" t="str">
        <f>"电子信息工程技术"</f>
        <v>电子信息工程技术</v>
      </c>
      <c r="H104" s="6" t="str">
        <f>"大专"</f>
        <v>大专</v>
      </c>
      <c r="I104" s="8" t="s">
        <v>16</v>
      </c>
    </row>
    <row r="105" spans="1:9" ht="24" customHeight="1">
      <c r="A105" s="5">
        <v>103</v>
      </c>
      <c r="B105" s="6" t="s">
        <v>21</v>
      </c>
      <c r="C105" s="6" t="str">
        <f>"吴永庆"</f>
        <v>吴永庆</v>
      </c>
      <c r="D105" s="6" t="str">
        <f t="shared" si="41"/>
        <v>男</v>
      </c>
      <c r="E105" s="6" t="str">
        <f>"1998-11-12"</f>
        <v>1998-11-12</v>
      </c>
      <c r="F105" s="6" t="str">
        <f>"海南师范大学"</f>
        <v>海南师范大学</v>
      </c>
      <c r="G105" s="6" t="str">
        <f>"电子信息科学与技术"</f>
        <v>电子信息科学与技术</v>
      </c>
      <c r="H105" s="6" t="str">
        <f t="shared" si="43"/>
        <v>本科</v>
      </c>
      <c r="I105" s="8" t="s">
        <v>16</v>
      </c>
    </row>
    <row r="106" spans="1:9" ht="24" customHeight="1">
      <c r="A106" s="5">
        <v>104</v>
      </c>
      <c r="B106" s="6" t="s">
        <v>21</v>
      </c>
      <c r="C106" s="6" t="str">
        <f>"陈引娣"</f>
        <v>陈引娣</v>
      </c>
      <c r="D106" s="6" t="str">
        <f aca="true" t="shared" si="44" ref="D106:D110">"女"</f>
        <v>女</v>
      </c>
      <c r="E106" s="6" t="str">
        <f>"1987-11-24"</f>
        <v>1987-11-24</v>
      </c>
      <c r="F106" s="6" t="str">
        <f>"福州职业技术学院"</f>
        <v>福州职业技术学院</v>
      </c>
      <c r="G106" s="6" t="str">
        <f>"电子商务"</f>
        <v>电子商务</v>
      </c>
      <c r="H106" s="6" t="str">
        <f>"大专"</f>
        <v>大专</v>
      </c>
      <c r="I106" s="8" t="s">
        <v>16</v>
      </c>
    </row>
    <row r="107" spans="1:9" ht="24" customHeight="1">
      <c r="A107" s="5">
        <v>105</v>
      </c>
      <c r="B107" s="6" t="s">
        <v>21</v>
      </c>
      <c r="C107" s="6" t="str">
        <f>"冯蕊"</f>
        <v>冯蕊</v>
      </c>
      <c r="D107" s="6" t="str">
        <f t="shared" si="44"/>
        <v>女</v>
      </c>
      <c r="E107" s="6" t="str">
        <f>"1996-12-23"</f>
        <v>1996-12-23</v>
      </c>
      <c r="F107" s="6" t="str">
        <f>"海南大学"</f>
        <v>海南大学</v>
      </c>
      <c r="G107" s="6" t="str">
        <f>"物联网工程"</f>
        <v>物联网工程</v>
      </c>
      <c r="H107" s="6" t="str">
        <f t="shared" si="43"/>
        <v>本科</v>
      </c>
      <c r="I107" s="8" t="s">
        <v>16</v>
      </c>
    </row>
    <row r="108" spans="1:9" ht="24" customHeight="1">
      <c r="A108" s="5">
        <v>106</v>
      </c>
      <c r="B108" s="6" t="s">
        <v>21</v>
      </c>
      <c r="C108" s="6" t="str">
        <f>"关义群"</f>
        <v>关义群</v>
      </c>
      <c r="D108" s="6" t="str">
        <f t="shared" si="44"/>
        <v>女</v>
      </c>
      <c r="E108" s="6" t="str">
        <f>"1983-04-01"</f>
        <v>1983-04-01</v>
      </c>
      <c r="F108" s="6" t="str">
        <f>"河北理工大学"</f>
        <v>河北理工大学</v>
      </c>
      <c r="G108" s="6" t="str">
        <f>"信息管理与信息系统"</f>
        <v>信息管理与信息系统</v>
      </c>
      <c r="H108" s="6" t="str">
        <f t="shared" si="43"/>
        <v>本科</v>
      </c>
      <c r="I108" s="8" t="s">
        <v>12</v>
      </c>
    </row>
    <row r="109" spans="1:9" ht="24" customHeight="1">
      <c r="A109" s="5">
        <v>107</v>
      </c>
      <c r="B109" s="6" t="s">
        <v>21</v>
      </c>
      <c r="C109" s="6" t="str">
        <f>"蔡木琴"</f>
        <v>蔡木琴</v>
      </c>
      <c r="D109" s="6" t="str">
        <f t="shared" si="44"/>
        <v>女</v>
      </c>
      <c r="E109" s="6" t="str">
        <f>"1996-09-02"</f>
        <v>1996-09-02</v>
      </c>
      <c r="F109" s="6" t="str">
        <f>"广西中医药大学"</f>
        <v>广西中医药大学</v>
      </c>
      <c r="G109" s="6" t="str">
        <f>"信息管理与信息系统"</f>
        <v>信息管理与信息系统</v>
      </c>
      <c r="H109" s="6" t="str">
        <f t="shared" si="43"/>
        <v>本科</v>
      </c>
      <c r="I109" s="8" t="s">
        <v>16</v>
      </c>
    </row>
    <row r="110" spans="1:9" ht="24" customHeight="1">
      <c r="A110" s="5">
        <v>108</v>
      </c>
      <c r="B110" s="6" t="s">
        <v>21</v>
      </c>
      <c r="C110" s="6" t="str">
        <f>"吴娟"</f>
        <v>吴娟</v>
      </c>
      <c r="D110" s="6" t="str">
        <f t="shared" si="44"/>
        <v>女</v>
      </c>
      <c r="E110" s="6" t="str">
        <f>"1995-10-27"</f>
        <v>1995-10-27</v>
      </c>
      <c r="F110" s="6" t="str">
        <f>"海南大学"</f>
        <v>海南大学</v>
      </c>
      <c r="G110" s="6" t="str">
        <f>"通信工程"</f>
        <v>通信工程</v>
      </c>
      <c r="H110" s="6" t="str">
        <f t="shared" si="43"/>
        <v>本科</v>
      </c>
      <c r="I110" s="8" t="s">
        <v>16</v>
      </c>
    </row>
    <row r="111" spans="1:9" ht="24" customHeight="1">
      <c r="A111" s="5">
        <v>109</v>
      </c>
      <c r="B111" s="6" t="s">
        <v>21</v>
      </c>
      <c r="C111" s="6" t="str">
        <f>"符芝源"</f>
        <v>符芝源</v>
      </c>
      <c r="D111" s="6" t="str">
        <f aca="true" t="shared" si="45" ref="D111:D113">"男"</f>
        <v>男</v>
      </c>
      <c r="E111" s="6" t="str">
        <f>"1989-06-24"</f>
        <v>1989-06-24</v>
      </c>
      <c r="F111" s="6" t="str">
        <f>"四川大学"</f>
        <v>四川大学</v>
      </c>
      <c r="G111" s="6" t="str">
        <f>"网络工程"</f>
        <v>网络工程</v>
      </c>
      <c r="H111" s="6" t="str">
        <f t="shared" si="43"/>
        <v>本科</v>
      </c>
      <c r="I111" s="8" t="s">
        <v>16</v>
      </c>
    </row>
    <row r="112" spans="1:9" ht="24" customHeight="1">
      <c r="A112" s="5">
        <v>110</v>
      </c>
      <c r="B112" s="6" t="s">
        <v>21</v>
      </c>
      <c r="C112" s="6" t="str">
        <f>"莫安杰"</f>
        <v>莫安杰</v>
      </c>
      <c r="D112" s="6" t="str">
        <f t="shared" si="45"/>
        <v>男</v>
      </c>
      <c r="E112" s="6" t="str">
        <f>"1986-11-08"</f>
        <v>1986-11-08</v>
      </c>
      <c r="F112" s="6" t="str">
        <f aca="true" t="shared" si="46" ref="F112:F116">"海南软件职业技术学院"</f>
        <v>海南软件职业技术学院</v>
      </c>
      <c r="G112" s="6" t="str">
        <f>"网络系统管理（计算机类）"</f>
        <v>网络系统管理（计算机类）</v>
      </c>
      <c r="H112" s="6" t="str">
        <f aca="true" t="shared" si="47" ref="H112:H117">"大专"</f>
        <v>大专</v>
      </c>
      <c r="I112" s="8" t="s">
        <v>16</v>
      </c>
    </row>
    <row r="113" spans="1:9" ht="24" customHeight="1">
      <c r="A113" s="5">
        <v>111</v>
      </c>
      <c r="B113" s="6" t="s">
        <v>21</v>
      </c>
      <c r="C113" s="6" t="str">
        <f>"王泽农"</f>
        <v>王泽农</v>
      </c>
      <c r="D113" s="6" t="str">
        <f t="shared" si="45"/>
        <v>男</v>
      </c>
      <c r="E113" s="6" t="str">
        <f>"1997-01-23"</f>
        <v>1997-01-23</v>
      </c>
      <c r="F113" s="6" t="str">
        <f>"广西师范大学漓江学院"</f>
        <v>广西师范大学漓江学院</v>
      </c>
      <c r="G113" s="6" t="str">
        <f>"计算机科学与技术"</f>
        <v>计算机科学与技术</v>
      </c>
      <c r="H113" s="6" t="str">
        <f>"本科"</f>
        <v>本科</v>
      </c>
      <c r="I113" s="8" t="s">
        <v>16</v>
      </c>
    </row>
    <row r="114" spans="1:9" ht="24" customHeight="1">
      <c r="A114" s="5">
        <v>112</v>
      </c>
      <c r="B114" s="6" t="s">
        <v>21</v>
      </c>
      <c r="C114" s="6" t="str">
        <f>"王婕"</f>
        <v>王婕</v>
      </c>
      <c r="D114" s="6" t="str">
        <f>"女"</f>
        <v>女</v>
      </c>
      <c r="E114" s="6" t="str">
        <f>"1996-11-22"</f>
        <v>1996-11-22</v>
      </c>
      <c r="F114" s="6" t="str">
        <f t="shared" si="46"/>
        <v>海南软件职业技术学院</v>
      </c>
      <c r="G114" s="6" t="str">
        <f>"计算机应用技术"</f>
        <v>计算机应用技术</v>
      </c>
      <c r="H114" s="6" t="str">
        <f t="shared" si="47"/>
        <v>大专</v>
      </c>
      <c r="I114" s="8" t="s">
        <v>16</v>
      </c>
    </row>
    <row r="115" spans="1:9" ht="24" customHeight="1">
      <c r="A115" s="5">
        <v>113</v>
      </c>
      <c r="B115" s="6" t="s">
        <v>21</v>
      </c>
      <c r="C115" s="6" t="str">
        <f>"邢梅冬"</f>
        <v>邢梅冬</v>
      </c>
      <c r="D115" s="6" t="str">
        <f>"女"</f>
        <v>女</v>
      </c>
      <c r="E115" s="6" t="str">
        <f>"1996-05-07"</f>
        <v>1996-05-07</v>
      </c>
      <c r="F115" s="6" t="str">
        <f t="shared" si="46"/>
        <v>海南软件职业技术学院</v>
      </c>
      <c r="G115" s="6" t="str">
        <f>"计算机应用技术"</f>
        <v>计算机应用技术</v>
      </c>
      <c r="H115" s="6" t="str">
        <f t="shared" si="47"/>
        <v>大专</v>
      </c>
      <c r="I115" s="8" t="s">
        <v>16</v>
      </c>
    </row>
    <row r="116" spans="1:9" ht="24" customHeight="1">
      <c r="A116" s="5">
        <v>114</v>
      </c>
      <c r="B116" s="6" t="s">
        <v>21</v>
      </c>
      <c r="C116" s="6" t="str">
        <f>"吉顺平"</f>
        <v>吉顺平</v>
      </c>
      <c r="D116" s="6" t="str">
        <f aca="true" t="shared" si="48" ref="D116:D119">"男"</f>
        <v>男</v>
      </c>
      <c r="E116" s="6" t="str">
        <f>"1996-06-07"</f>
        <v>1996-06-07</v>
      </c>
      <c r="F116" s="6" t="str">
        <f t="shared" si="46"/>
        <v>海南软件职业技术学院</v>
      </c>
      <c r="G116" s="6" t="str">
        <f>"应用电子技术"</f>
        <v>应用电子技术</v>
      </c>
      <c r="H116" s="6" t="str">
        <f t="shared" si="47"/>
        <v>大专</v>
      </c>
      <c r="I116" s="8" t="s">
        <v>16</v>
      </c>
    </row>
    <row r="117" spans="1:9" ht="24" customHeight="1">
      <c r="A117" s="5">
        <v>115</v>
      </c>
      <c r="B117" s="6" t="s">
        <v>21</v>
      </c>
      <c r="C117" s="6" t="str">
        <f>"冼世超"</f>
        <v>冼世超</v>
      </c>
      <c r="D117" s="6" t="str">
        <f t="shared" si="48"/>
        <v>男</v>
      </c>
      <c r="E117" s="6" t="str">
        <f>"1988-06-29"</f>
        <v>1988-06-29</v>
      </c>
      <c r="F117" s="6" t="str">
        <f>"武汉生物工程学院"</f>
        <v>武汉生物工程学院</v>
      </c>
      <c r="G117" s="6" t="str">
        <f>"计算机软件工程"</f>
        <v>计算机软件工程</v>
      </c>
      <c r="H117" s="6" t="str">
        <f t="shared" si="47"/>
        <v>大专</v>
      </c>
      <c r="I117" s="8" t="s">
        <v>16</v>
      </c>
    </row>
    <row r="118" spans="1:9" ht="24" customHeight="1">
      <c r="A118" s="5">
        <v>116</v>
      </c>
      <c r="B118" s="6" t="s">
        <v>21</v>
      </c>
      <c r="C118" s="6" t="str">
        <f>"陈锦超"</f>
        <v>陈锦超</v>
      </c>
      <c r="D118" s="6" t="str">
        <f t="shared" si="48"/>
        <v>男</v>
      </c>
      <c r="E118" s="6" t="str">
        <f>"1997-06-16"</f>
        <v>1997-06-16</v>
      </c>
      <c r="F118" s="6" t="str">
        <f>"浙江传媒学院"</f>
        <v>浙江传媒学院</v>
      </c>
      <c r="G118" s="6" t="str">
        <f>"通信工程"</f>
        <v>通信工程</v>
      </c>
      <c r="H118" s="6" t="str">
        <f aca="true" t="shared" si="49" ref="H118:H121">"本科"</f>
        <v>本科</v>
      </c>
      <c r="I118" s="8" t="s">
        <v>16</v>
      </c>
    </row>
    <row r="119" spans="1:9" ht="24" customHeight="1">
      <c r="A119" s="5">
        <v>117</v>
      </c>
      <c r="B119" s="6" t="s">
        <v>21</v>
      </c>
      <c r="C119" s="6" t="str">
        <f>"钟云逸"</f>
        <v>钟云逸</v>
      </c>
      <c r="D119" s="6" t="str">
        <f t="shared" si="48"/>
        <v>男</v>
      </c>
      <c r="E119" s="6" t="str">
        <f>"1998-10-28"</f>
        <v>1998-10-28</v>
      </c>
      <c r="F119" s="6" t="str">
        <f>"琼台师范学院"</f>
        <v>琼台师范学院</v>
      </c>
      <c r="G119" s="6" t="str">
        <f>"计算机网络技术"</f>
        <v>计算机网络技术</v>
      </c>
      <c r="H119" s="6" t="str">
        <f aca="true" t="shared" si="50" ref="H119:H124">"大专"</f>
        <v>大专</v>
      </c>
      <c r="I119" s="8" t="s">
        <v>16</v>
      </c>
    </row>
    <row r="120" spans="1:9" ht="24" customHeight="1">
      <c r="A120" s="5">
        <v>118</v>
      </c>
      <c r="B120" s="6" t="s">
        <v>21</v>
      </c>
      <c r="C120" s="6" t="str">
        <f>"齐立艳"</f>
        <v>齐立艳</v>
      </c>
      <c r="D120" s="6" t="str">
        <f>"女"</f>
        <v>女</v>
      </c>
      <c r="E120" s="6" t="str">
        <f>"1987-05-10"</f>
        <v>1987-05-10</v>
      </c>
      <c r="F120" s="6" t="str">
        <f>"内蒙古大学"</f>
        <v>内蒙古大学</v>
      </c>
      <c r="G120" s="6" t="str">
        <f>"信息管理与信息系统"</f>
        <v>信息管理与信息系统</v>
      </c>
      <c r="H120" s="6" t="str">
        <f t="shared" si="49"/>
        <v>本科</v>
      </c>
      <c r="I120" s="8" t="s">
        <v>16</v>
      </c>
    </row>
    <row r="121" spans="1:9" ht="24" customHeight="1">
      <c r="A121" s="5">
        <v>119</v>
      </c>
      <c r="B121" s="6" t="s">
        <v>21</v>
      </c>
      <c r="C121" s="6" t="str">
        <f>"谭家铭"</f>
        <v>谭家铭</v>
      </c>
      <c r="D121" s="6" t="str">
        <f aca="true" t="shared" si="51" ref="D121:D126">"男"</f>
        <v>男</v>
      </c>
      <c r="E121" s="6" t="str">
        <f>"1989-03-02"</f>
        <v>1989-03-02</v>
      </c>
      <c r="F121" s="6" t="str">
        <f>"河北联合大学"</f>
        <v>河北联合大学</v>
      </c>
      <c r="G121" s="6" t="str">
        <f>"通信工程"</f>
        <v>通信工程</v>
      </c>
      <c r="H121" s="6" t="str">
        <f t="shared" si="49"/>
        <v>本科</v>
      </c>
      <c r="I121" s="8" t="s">
        <v>16</v>
      </c>
    </row>
    <row r="122" spans="1:9" ht="24" customHeight="1">
      <c r="A122" s="5">
        <v>120</v>
      </c>
      <c r="B122" s="6" t="s">
        <v>21</v>
      </c>
      <c r="C122" s="6" t="str">
        <f>"陈荣威"</f>
        <v>陈荣威</v>
      </c>
      <c r="D122" s="6" t="str">
        <f t="shared" si="51"/>
        <v>男</v>
      </c>
      <c r="E122" s="6" t="str">
        <f>"1989-07-07"</f>
        <v>1989-07-07</v>
      </c>
      <c r="F122" s="6" t="str">
        <f>"三亚理工职业学院"</f>
        <v>三亚理工职业学院</v>
      </c>
      <c r="G122" s="6" t="str">
        <f>"计算机信息管理"</f>
        <v>计算机信息管理</v>
      </c>
      <c r="H122" s="6" t="str">
        <f t="shared" si="50"/>
        <v>大专</v>
      </c>
      <c r="I122" s="8" t="s">
        <v>16</v>
      </c>
    </row>
    <row r="123" spans="1:9" ht="24" customHeight="1">
      <c r="A123" s="5">
        <v>121</v>
      </c>
      <c r="B123" s="6" t="s">
        <v>21</v>
      </c>
      <c r="C123" s="6" t="str">
        <f>"郑超"</f>
        <v>郑超</v>
      </c>
      <c r="D123" s="6" t="str">
        <f t="shared" si="51"/>
        <v>男</v>
      </c>
      <c r="E123" s="6" t="str">
        <f>"1992-07-10"</f>
        <v>1992-07-10</v>
      </c>
      <c r="F123" s="6" t="str">
        <f>"海南经贸职业技术学院"</f>
        <v>海南经贸职业技术学院</v>
      </c>
      <c r="G123" s="6" t="str">
        <f>"计算机网络技术"</f>
        <v>计算机网络技术</v>
      </c>
      <c r="H123" s="6" t="str">
        <f t="shared" si="50"/>
        <v>大专</v>
      </c>
      <c r="I123" s="8" t="s">
        <v>16</v>
      </c>
    </row>
    <row r="124" spans="1:9" ht="24" customHeight="1">
      <c r="A124" s="5">
        <v>122</v>
      </c>
      <c r="B124" s="6" t="s">
        <v>21</v>
      </c>
      <c r="C124" s="6" t="str">
        <f>"陈定亮"</f>
        <v>陈定亮</v>
      </c>
      <c r="D124" s="6" t="str">
        <f t="shared" si="51"/>
        <v>男</v>
      </c>
      <c r="E124" s="6" t="str">
        <f>"1990-08-26"</f>
        <v>1990-08-26</v>
      </c>
      <c r="F124" s="6" t="str">
        <f>"邕江大学"</f>
        <v>邕江大学</v>
      </c>
      <c r="G124" s="6" t="str">
        <f>"计算机应用技术"</f>
        <v>计算机应用技术</v>
      </c>
      <c r="H124" s="6" t="str">
        <f t="shared" si="50"/>
        <v>大专</v>
      </c>
      <c r="I124" s="8" t="s">
        <v>16</v>
      </c>
    </row>
    <row r="125" spans="1:9" ht="24" customHeight="1">
      <c r="A125" s="5">
        <v>123</v>
      </c>
      <c r="B125" s="6" t="s">
        <v>21</v>
      </c>
      <c r="C125" s="6" t="str">
        <f>"蔡崇法"</f>
        <v>蔡崇法</v>
      </c>
      <c r="D125" s="6" t="str">
        <f t="shared" si="51"/>
        <v>男</v>
      </c>
      <c r="E125" s="6" t="str">
        <f>"1989-10-16"</f>
        <v>1989-10-16</v>
      </c>
      <c r="F125" s="6" t="str">
        <f>"湖南工业大学"</f>
        <v>湖南工业大学</v>
      </c>
      <c r="G125" s="6" t="str">
        <f>"软件工程"</f>
        <v>软件工程</v>
      </c>
      <c r="H125" s="6" t="str">
        <f aca="true" t="shared" si="52" ref="H125:H132">"本科"</f>
        <v>本科</v>
      </c>
      <c r="I125" s="8" t="s">
        <v>16</v>
      </c>
    </row>
    <row r="126" spans="1:9" ht="24" customHeight="1">
      <c r="A126" s="5">
        <v>124</v>
      </c>
      <c r="B126" s="6" t="s">
        <v>21</v>
      </c>
      <c r="C126" s="6" t="str">
        <f>"苏承俊"</f>
        <v>苏承俊</v>
      </c>
      <c r="D126" s="6" t="str">
        <f t="shared" si="51"/>
        <v>男</v>
      </c>
      <c r="E126" s="6" t="str">
        <f>"1990-10-11"</f>
        <v>1990-10-11</v>
      </c>
      <c r="F126" s="6" t="str">
        <f>"海南医学院"</f>
        <v>海南医学院</v>
      </c>
      <c r="G126" s="6" t="str">
        <f>"计算机网络技术"</f>
        <v>计算机网络技术</v>
      </c>
      <c r="H126" s="6" t="str">
        <f>"大专"</f>
        <v>大专</v>
      </c>
      <c r="I126" s="8" t="s">
        <v>16</v>
      </c>
    </row>
    <row r="127" spans="1:9" ht="24" customHeight="1">
      <c r="A127" s="5">
        <v>125</v>
      </c>
      <c r="B127" s="6" t="s">
        <v>21</v>
      </c>
      <c r="C127" s="6" t="str">
        <f>"朱佳媛"</f>
        <v>朱佳媛</v>
      </c>
      <c r="D127" s="6" t="str">
        <f aca="true" t="shared" si="53" ref="D127:D130">"女"</f>
        <v>女</v>
      </c>
      <c r="E127" s="6" t="str">
        <f>"1991-03-11"</f>
        <v>1991-03-11</v>
      </c>
      <c r="F127" s="6" t="str">
        <f>"哈尔滨工业大学华德应用技术学院"</f>
        <v>哈尔滨工业大学华德应用技术学院</v>
      </c>
      <c r="G127" s="6" t="str">
        <f>"电子信息工程"</f>
        <v>电子信息工程</v>
      </c>
      <c r="H127" s="6" t="str">
        <f t="shared" si="52"/>
        <v>本科</v>
      </c>
      <c r="I127" s="8" t="s">
        <v>16</v>
      </c>
    </row>
    <row r="128" spans="1:9" ht="24" customHeight="1">
      <c r="A128" s="5">
        <v>126</v>
      </c>
      <c r="B128" s="6" t="s">
        <v>21</v>
      </c>
      <c r="C128" s="6" t="str">
        <f>"李志宁"</f>
        <v>李志宁</v>
      </c>
      <c r="D128" s="6" t="str">
        <f aca="true" t="shared" si="54" ref="D128:D133">"男"</f>
        <v>男</v>
      </c>
      <c r="E128" s="6" t="str">
        <f>"1988-09-04"</f>
        <v>1988-09-04</v>
      </c>
      <c r="F128" s="6" t="str">
        <f>"哈尔滨电力职业技术学院"</f>
        <v>哈尔滨电力职业技术学院</v>
      </c>
      <c r="G128" s="6" t="str">
        <f>"计算机应用技术"</f>
        <v>计算机应用技术</v>
      </c>
      <c r="H128" s="6" t="str">
        <f>"大专"</f>
        <v>大专</v>
      </c>
      <c r="I128" s="8" t="s">
        <v>16</v>
      </c>
    </row>
    <row r="129" spans="1:9" ht="24" customHeight="1">
      <c r="A129" s="5">
        <v>127</v>
      </c>
      <c r="B129" s="6" t="s">
        <v>21</v>
      </c>
      <c r="C129" s="6" t="str">
        <f>"王梅侠"</f>
        <v>王梅侠</v>
      </c>
      <c r="D129" s="6" t="str">
        <f t="shared" si="53"/>
        <v>女</v>
      </c>
      <c r="E129" s="6" t="str">
        <f>"1993-05-14"</f>
        <v>1993-05-14</v>
      </c>
      <c r="F129" s="6" t="str">
        <f>"广西师范学院师园学院"</f>
        <v>广西师范学院师园学院</v>
      </c>
      <c r="G129" s="6" t="str">
        <f>"计算机科学与技术"</f>
        <v>计算机科学与技术</v>
      </c>
      <c r="H129" s="6" t="str">
        <f t="shared" si="52"/>
        <v>本科</v>
      </c>
      <c r="I129" s="8" t="s">
        <v>16</v>
      </c>
    </row>
    <row r="130" spans="1:9" ht="24" customHeight="1">
      <c r="A130" s="5">
        <v>128</v>
      </c>
      <c r="B130" s="6" t="s">
        <v>21</v>
      </c>
      <c r="C130" s="6" t="str">
        <f>"纪新春"</f>
        <v>纪新春</v>
      </c>
      <c r="D130" s="6" t="str">
        <f t="shared" si="53"/>
        <v>女</v>
      </c>
      <c r="E130" s="6" t="str">
        <f>"1997-07-29"</f>
        <v>1997-07-29</v>
      </c>
      <c r="F130" s="6" t="str">
        <f>" 广西大学行健文理学院"</f>
        <v> 广西大学行健文理学院</v>
      </c>
      <c r="G130" s="6" t="str">
        <f>" 通信工程"</f>
        <v> 通信工程</v>
      </c>
      <c r="H130" s="6" t="str">
        <f t="shared" si="52"/>
        <v>本科</v>
      </c>
      <c r="I130" s="8" t="s">
        <v>16</v>
      </c>
    </row>
    <row r="131" spans="1:9" ht="24" customHeight="1">
      <c r="A131" s="5">
        <v>129</v>
      </c>
      <c r="B131" s="6" t="s">
        <v>21</v>
      </c>
      <c r="C131" s="6" t="str">
        <f>"杜林森"</f>
        <v>杜林森</v>
      </c>
      <c r="D131" s="6" t="str">
        <f t="shared" si="54"/>
        <v>男</v>
      </c>
      <c r="E131" s="6" t="str">
        <f>"1999-04-18"</f>
        <v>1999-04-18</v>
      </c>
      <c r="F131" s="6" t="str">
        <f>"三峡大学"</f>
        <v>三峡大学</v>
      </c>
      <c r="G131" s="6" t="str">
        <f>"计算机科学与技术"</f>
        <v>计算机科学与技术</v>
      </c>
      <c r="H131" s="6" t="str">
        <f t="shared" si="52"/>
        <v>本科</v>
      </c>
      <c r="I131" s="8" t="s">
        <v>16</v>
      </c>
    </row>
    <row r="132" spans="1:9" ht="24" customHeight="1">
      <c r="A132" s="5">
        <v>130</v>
      </c>
      <c r="B132" s="6" t="s">
        <v>21</v>
      </c>
      <c r="C132" s="6" t="str">
        <f>"魏聪"</f>
        <v>魏聪</v>
      </c>
      <c r="D132" s="6" t="str">
        <f t="shared" si="54"/>
        <v>男</v>
      </c>
      <c r="E132" s="6" t="str">
        <f>"1997-11-02"</f>
        <v>1997-11-02</v>
      </c>
      <c r="F132" s="6" t="str">
        <f>"三亚学院"</f>
        <v>三亚学院</v>
      </c>
      <c r="G132" s="6" t="str">
        <f>"通信工程"</f>
        <v>通信工程</v>
      </c>
      <c r="H132" s="6" t="str">
        <f t="shared" si="52"/>
        <v>本科</v>
      </c>
      <c r="I132" s="8" t="s">
        <v>16</v>
      </c>
    </row>
    <row r="133" spans="1:9" ht="24" customHeight="1">
      <c r="A133" s="5">
        <v>131</v>
      </c>
      <c r="B133" s="6" t="s">
        <v>21</v>
      </c>
      <c r="C133" s="6" t="str">
        <f>"邢增鸿"</f>
        <v>邢增鸿</v>
      </c>
      <c r="D133" s="6" t="str">
        <f t="shared" si="54"/>
        <v>男</v>
      </c>
      <c r="E133" s="6" t="str">
        <f>"1995-04-15"</f>
        <v>1995-04-15</v>
      </c>
      <c r="F133" s="6" t="str">
        <f>"海南软件职业技术学院"</f>
        <v>海南软件职业技术学院</v>
      </c>
      <c r="G133" s="6" t="str">
        <f>"计算机网络技术"</f>
        <v>计算机网络技术</v>
      </c>
      <c r="H133" s="6" t="str">
        <f aca="true" t="shared" si="55" ref="H133:H135">"大专"</f>
        <v>大专</v>
      </c>
      <c r="I133" s="8" t="s">
        <v>16</v>
      </c>
    </row>
    <row r="134" spans="1:9" ht="24" customHeight="1">
      <c r="A134" s="5">
        <v>132</v>
      </c>
      <c r="B134" s="6" t="s">
        <v>21</v>
      </c>
      <c r="C134" s="6" t="str">
        <f>"李萍"</f>
        <v>李萍</v>
      </c>
      <c r="D134" s="6" t="str">
        <f aca="true" t="shared" si="56" ref="D134:D138">"女"</f>
        <v>女</v>
      </c>
      <c r="E134" s="6" t="str">
        <f>"1991-10-05"</f>
        <v>1991-10-05</v>
      </c>
      <c r="F134" s="6" t="str">
        <f>"广州民航职业技术学院"</f>
        <v>广州民航职业技术学院</v>
      </c>
      <c r="G134" s="6" t="str">
        <f>"计算机信息管理（民航运输信息管理）"</f>
        <v>计算机信息管理（民航运输信息管理）</v>
      </c>
      <c r="H134" s="6" t="str">
        <f t="shared" si="55"/>
        <v>大专</v>
      </c>
      <c r="I134" s="8" t="s">
        <v>16</v>
      </c>
    </row>
    <row r="135" spans="1:9" ht="24" customHeight="1">
      <c r="A135" s="5">
        <v>133</v>
      </c>
      <c r="B135" s="6" t="s">
        <v>21</v>
      </c>
      <c r="C135" s="6" t="str">
        <f>"许宇琼"</f>
        <v>许宇琼</v>
      </c>
      <c r="D135" s="6" t="str">
        <f aca="true" t="shared" si="57" ref="D135:D139">"男"</f>
        <v>男</v>
      </c>
      <c r="E135" s="6" t="str">
        <f>"1996-04-22"</f>
        <v>1996-04-22</v>
      </c>
      <c r="F135" s="6" t="str">
        <f>"天津滨海职业学院"</f>
        <v>天津滨海职业学院</v>
      </c>
      <c r="G135" s="6" t="str">
        <f>"软件技术"</f>
        <v>软件技术</v>
      </c>
      <c r="H135" s="6" t="str">
        <f t="shared" si="55"/>
        <v>大专</v>
      </c>
      <c r="I135" s="8" t="s">
        <v>16</v>
      </c>
    </row>
    <row r="136" spans="1:9" ht="24" customHeight="1">
      <c r="A136" s="5">
        <v>134</v>
      </c>
      <c r="B136" s="6" t="s">
        <v>21</v>
      </c>
      <c r="C136" s="6" t="str">
        <f>"符秋曼"</f>
        <v>符秋曼</v>
      </c>
      <c r="D136" s="6" t="str">
        <f t="shared" si="56"/>
        <v>女</v>
      </c>
      <c r="E136" s="6" t="str">
        <f>"1994-05-10"</f>
        <v>1994-05-10</v>
      </c>
      <c r="F136" s="6" t="str">
        <f>"南京邮电大学"</f>
        <v>南京邮电大学</v>
      </c>
      <c r="G136" s="6" t="str">
        <f>"电子科学与技术"</f>
        <v>电子科学与技术</v>
      </c>
      <c r="H136" s="6" t="str">
        <f aca="true" t="shared" si="58" ref="H136:H138">"本科"</f>
        <v>本科</v>
      </c>
      <c r="I136" s="8" t="s">
        <v>16</v>
      </c>
    </row>
    <row r="137" spans="1:9" ht="24" customHeight="1">
      <c r="A137" s="5">
        <v>135</v>
      </c>
      <c r="B137" s="6" t="s">
        <v>21</v>
      </c>
      <c r="C137" s="6" t="str">
        <f>"莫光钦"</f>
        <v>莫光钦</v>
      </c>
      <c r="D137" s="6" t="str">
        <f t="shared" si="57"/>
        <v>男</v>
      </c>
      <c r="E137" s="6" t="str">
        <f>"1990-05-04"</f>
        <v>1990-05-04</v>
      </c>
      <c r="F137" s="6" t="str">
        <f>"海口经济学院"</f>
        <v>海口经济学院</v>
      </c>
      <c r="G137" s="6" t="str">
        <f>"专科:计算机应用技术、本科：旅游管理"</f>
        <v>专科:计算机应用技术、本科：旅游管理</v>
      </c>
      <c r="H137" s="6" t="str">
        <f t="shared" si="58"/>
        <v>本科</v>
      </c>
      <c r="I137" s="8" t="s">
        <v>16</v>
      </c>
    </row>
    <row r="138" spans="1:9" ht="24" customHeight="1">
      <c r="A138" s="5">
        <v>136</v>
      </c>
      <c r="B138" s="6" t="s">
        <v>21</v>
      </c>
      <c r="C138" s="6" t="str">
        <f>"符雪怡"</f>
        <v>符雪怡</v>
      </c>
      <c r="D138" s="6" t="str">
        <f t="shared" si="56"/>
        <v>女</v>
      </c>
      <c r="E138" s="6" t="str">
        <f>"1998-06-09"</f>
        <v>1998-06-09</v>
      </c>
      <c r="F138" s="6" t="str">
        <f>"天津职业技术师范大学"</f>
        <v>天津职业技术师范大学</v>
      </c>
      <c r="G138" s="6" t="str">
        <f>"计算机科学与技术"</f>
        <v>计算机科学与技术</v>
      </c>
      <c r="H138" s="6" t="str">
        <f t="shared" si="58"/>
        <v>本科</v>
      </c>
      <c r="I138" s="8" t="s">
        <v>16</v>
      </c>
    </row>
    <row r="139" spans="1:9" ht="24" customHeight="1">
      <c r="A139" s="5">
        <v>137</v>
      </c>
      <c r="B139" s="6" t="s">
        <v>21</v>
      </c>
      <c r="C139" s="6" t="str">
        <f>"吴保明"</f>
        <v>吴保明</v>
      </c>
      <c r="D139" s="6" t="str">
        <f t="shared" si="57"/>
        <v>男</v>
      </c>
      <c r="E139" s="6" t="str">
        <f>"1998-04-27"</f>
        <v>1998-04-27</v>
      </c>
      <c r="F139" s="6" t="str">
        <f>"天津职业技术师范大学"</f>
        <v>天津职业技术师范大学</v>
      </c>
      <c r="G139" s="6" t="str">
        <f>"计算机应用技术"</f>
        <v>计算机应用技术</v>
      </c>
      <c r="H139" s="6" t="str">
        <f aca="true" t="shared" si="59" ref="H139:H142">"大专"</f>
        <v>大专</v>
      </c>
      <c r="I139" s="8" t="s">
        <v>16</v>
      </c>
    </row>
    <row r="140" spans="1:9" ht="24" customHeight="1">
      <c r="A140" s="5">
        <v>138</v>
      </c>
      <c r="B140" s="6" t="s">
        <v>21</v>
      </c>
      <c r="C140" s="6" t="str">
        <f>"文小苗"</f>
        <v>文小苗</v>
      </c>
      <c r="D140" s="6" t="str">
        <f aca="true" t="shared" si="60" ref="D140:D142">"女"</f>
        <v>女</v>
      </c>
      <c r="E140" s="6" t="str">
        <f>"1986-09-10"</f>
        <v>1986-09-10</v>
      </c>
      <c r="F140" s="6" t="str">
        <f>"海南政法职业学院"</f>
        <v>海南政法职业学院</v>
      </c>
      <c r="G140" s="6" t="str">
        <f>"信息安全技术"</f>
        <v>信息安全技术</v>
      </c>
      <c r="H140" s="6" t="str">
        <f t="shared" si="59"/>
        <v>大专</v>
      </c>
      <c r="I140" s="8" t="s">
        <v>16</v>
      </c>
    </row>
    <row r="141" spans="1:9" ht="24" customHeight="1">
      <c r="A141" s="5">
        <v>139</v>
      </c>
      <c r="B141" s="6" t="s">
        <v>21</v>
      </c>
      <c r="C141" s="6" t="str">
        <f>"林来玉"</f>
        <v>林来玉</v>
      </c>
      <c r="D141" s="6" t="str">
        <f t="shared" si="60"/>
        <v>女</v>
      </c>
      <c r="E141" s="6" t="str">
        <f>"1998-02-20"</f>
        <v>1998-02-20</v>
      </c>
      <c r="F141" s="6" t="str">
        <f>"海南医学院"</f>
        <v>海南医学院</v>
      </c>
      <c r="G141" s="6" t="str">
        <f>"信息管理与信息系统"</f>
        <v>信息管理与信息系统</v>
      </c>
      <c r="H141" s="6" t="str">
        <f aca="true" t="shared" si="61" ref="H141:H147">"本科"</f>
        <v>本科</v>
      </c>
      <c r="I141" s="8" t="s">
        <v>16</v>
      </c>
    </row>
    <row r="142" spans="1:9" ht="24" customHeight="1">
      <c r="A142" s="5">
        <v>140</v>
      </c>
      <c r="B142" s="6" t="s">
        <v>21</v>
      </c>
      <c r="C142" s="6" t="str">
        <f>"何鲜鲜"</f>
        <v>何鲜鲜</v>
      </c>
      <c r="D142" s="6" t="str">
        <f t="shared" si="60"/>
        <v>女</v>
      </c>
      <c r="E142" s="6" t="str">
        <f>"1997-07-27"</f>
        <v>1997-07-27</v>
      </c>
      <c r="F142" s="6" t="str">
        <f>"天津电子信息职业技术学院"</f>
        <v>天津电子信息职业技术学院</v>
      </c>
      <c r="G142" s="6" t="str">
        <f>"软件技术"</f>
        <v>软件技术</v>
      </c>
      <c r="H142" s="6" t="str">
        <f t="shared" si="59"/>
        <v>大专</v>
      </c>
      <c r="I142" s="8" t="s">
        <v>16</v>
      </c>
    </row>
    <row r="143" spans="1:9" ht="24" customHeight="1">
      <c r="A143" s="5">
        <v>141</v>
      </c>
      <c r="B143" s="6" t="s">
        <v>21</v>
      </c>
      <c r="C143" s="6" t="str">
        <f>"赵政"</f>
        <v>赵政</v>
      </c>
      <c r="D143" s="6" t="str">
        <f aca="true" t="shared" si="62" ref="D143:D145">"男"</f>
        <v>男</v>
      </c>
      <c r="E143" s="6" t="str">
        <f>"1990-04-08"</f>
        <v>1990-04-08</v>
      </c>
      <c r="F143" s="6" t="str">
        <f>"吉林工程技术师范学院"</f>
        <v>吉林工程技术师范学院</v>
      </c>
      <c r="G143" s="6" t="str">
        <f>"计算机科学与技术"</f>
        <v>计算机科学与技术</v>
      </c>
      <c r="H143" s="6" t="str">
        <f t="shared" si="61"/>
        <v>本科</v>
      </c>
      <c r="I143" s="8" t="s">
        <v>16</v>
      </c>
    </row>
    <row r="144" spans="1:9" ht="24" customHeight="1">
      <c r="A144" s="5">
        <v>142</v>
      </c>
      <c r="B144" s="6" t="s">
        <v>21</v>
      </c>
      <c r="C144" s="6" t="str">
        <f>"吴钟林"</f>
        <v>吴钟林</v>
      </c>
      <c r="D144" s="6" t="str">
        <f t="shared" si="62"/>
        <v>男</v>
      </c>
      <c r="E144" s="6" t="str">
        <f>"1997-01-23"</f>
        <v>1997-01-23</v>
      </c>
      <c r="F144" s="6" t="str">
        <f>"邵阳学院"</f>
        <v>邵阳学院</v>
      </c>
      <c r="G144" s="6" t="str">
        <f>"信息与计算科学"</f>
        <v>信息与计算科学</v>
      </c>
      <c r="H144" s="6" t="str">
        <f t="shared" si="61"/>
        <v>本科</v>
      </c>
      <c r="I144" s="8" t="s">
        <v>16</v>
      </c>
    </row>
    <row r="145" spans="1:9" ht="24" customHeight="1">
      <c r="A145" s="5">
        <v>143</v>
      </c>
      <c r="B145" s="6" t="s">
        <v>21</v>
      </c>
      <c r="C145" s="6" t="str">
        <f>"许曾强"</f>
        <v>许曾强</v>
      </c>
      <c r="D145" s="6" t="str">
        <f t="shared" si="62"/>
        <v>男</v>
      </c>
      <c r="E145" s="6" t="str">
        <f>"1992-09-07"</f>
        <v>1992-09-07</v>
      </c>
      <c r="F145" s="6" t="str">
        <f>"内蒙古师范大学"</f>
        <v>内蒙古师范大学</v>
      </c>
      <c r="G145" s="6" t="str">
        <f>"通信工程"</f>
        <v>通信工程</v>
      </c>
      <c r="H145" s="6" t="str">
        <f t="shared" si="61"/>
        <v>本科</v>
      </c>
      <c r="I145" s="8" t="s">
        <v>16</v>
      </c>
    </row>
    <row r="146" spans="1:9" ht="24" customHeight="1">
      <c r="A146" s="5">
        <v>144</v>
      </c>
      <c r="B146" s="6" t="s">
        <v>21</v>
      </c>
      <c r="C146" s="6" t="str">
        <f>"周嘉珍"</f>
        <v>周嘉珍</v>
      </c>
      <c r="D146" s="6" t="str">
        <f>"女"</f>
        <v>女</v>
      </c>
      <c r="E146" s="6" t="str">
        <f>"1996-05-21"</f>
        <v>1996-05-21</v>
      </c>
      <c r="F146" s="6" t="str">
        <f>"青岛理工大学"</f>
        <v>青岛理工大学</v>
      </c>
      <c r="G146" s="6" t="str">
        <f>"计算机科学与技术"</f>
        <v>计算机科学与技术</v>
      </c>
      <c r="H146" s="6" t="str">
        <f t="shared" si="61"/>
        <v>本科</v>
      </c>
      <c r="I146" s="8" t="s">
        <v>16</v>
      </c>
    </row>
    <row r="147" spans="1:9" ht="24" customHeight="1">
      <c r="A147" s="5">
        <v>145</v>
      </c>
      <c r="B147" s="6" t="s">
        <v>21</v>
      </c>
      <c r="C147" s="6" t="str">
        <f>"孙江森"</f>
        <v>孙江森</v>
      </c>
      <c r="D147" s="6" t="str">
        <f aca="true" t="shared" si="63" ref="D147:D150">"男"</f>
        <v>男</v>
      </c>
      <c r="E147" s="6" t="str">
        <f>"1987-04-22"</f>
        <v>1987-04-22</v>
      </c>
      <c r="F147" s="6" t="str">
        <f>"大连理工大学城市学院"</f>
        <v>大连理工大学城市学院</v>
      </c>
      <c r="G147" s="6" t="str">
        <f>"软件工程"</f>
        <v>软件工程</v>
      </c>
      <c r="H147" s="6" t="str">
        <f t="shared" si="61"/>
        <v>本科</v>
      </c>
      <c r="I147" s="8" t="s">
        <v>16</v>
      </c>
    </row>
    <row r="148" spans="1:9" ht="24" customHeight="1">
      <c r="A148" s="5">
        <v>146</v>
      </c>
      <c r="B148" s="6" t="s">
        <v>21</v>
      </c>
      <c r="C148" s="6" t="str">
        <f>"冯成全"</f>
        <v>冯成全</v>
      </c>
      <c r="D148" s="6" t="str">
        <f t="shared" si="63"/>
        <v>男</v>
      </c>
      <c r="E148" s="6" t="str">
        <f>"1984-05-10"</f>
        <v>1984-05-10</v>
      </c>
      <c r="F148" s="6" t="str">
        <f>"重庆航天职业技术学院"</f>
        <v>重庆航天职业技术学院</v>
      </c>
      <c r="G148" s="6" t="str">
        <f>"电子信息工程技术"</f>
        <v>电子信息工程技术</v>
      </c>
      <c r="H148" s="6" t="str">
        <f>"大专"</f>
        <v>大专</v>
      </c>
      <c r="I148" s="8" t="s">
        <v>16</v>
      </c>
    </row>
    <row r="149" spans="1:9" ht="24" customHeight="1">
      <c r="A149" s="5">
        <v>147</v>
      </c>
      <c r="B149" s="6" t="s">
        <v>21</v>
      </c>
      <c r="C149" s="6" t="str">
        <f>"陈日"</f>
        <v>陈日</v>
      </c>
      <c r="D149" s="6" t="str">
        <f t="shared" si="63"/>
        <v>男</v>
      </c>
      <c r="E149" s="6" t="str">
        <f>"1992-06-02"</f>
        <v>1992-06-02</v>
      </c>
      <c r="F149" s="6" t="str">
        <f>"天津师范大学"</f>
        <v>天津师范大学</v>
      </c>
      <c r="G149" s="6" t="str">
        <f>"软件工程"</f>
        <v>软件工程</v>
      </c>
      <c r="H149" s="6" t="str">
        <f aca="true" t="shared" si="64" ref="H149:H155">"本科"</f>
        <v>本科</v>
      </c>
      <c r="I149" s="8" t="s">
        <v>16</v>
      </c>
    </row>
    <row r="150" spans="1:9" ht="24" customHeight="1">
      <c r="A150" s="5">
        <v>148</v>
      </c>
      <c r="B150" s="6" t="s">
        <v>21</v>
      </c>
      <c r="C150" s="6" t="str">
        <f>"杨文"</f>
        <v>杨文</v>
      </c>
      <c r="D150" s="6" t="str">
        <f t="shared" si="63"/>
        <v>男</v>
      </c>
      <c r="E150" s="6" t="str">
        <f>"1990-05-30"</f>
        <v>1990-05-30</v>
      </c>
      <c r="F150" s="6" t="str">
        <f>"琼台师范高等专科学校"</f>
        <v>琼台师范高等专科学校</v>
      </c>
      <c r="G150" s="6" t="str">
        <f>"计算机应用与技术"</f>
        <v>计算机应用与技术</v>
      </c>
      <c r="H150" s="6" t="str">
        <f>"大专"</f>
        <v>大专</v>
      </c>
      <c r="I150" s="8" t="s">
        <v>16</v>
      </c>
    </row>
    <row r="151" spans="1:9" ht="24" customHeight="1">
      <c r="A151" s="5">
        <v>149</v>
      </c>
      <c r="B151" s="6" t="s">
        <v>21</v>
      </c>
      <c r="C151" s="6" t="str">
        <f>"邢行"</f>
        <v>邢行</v>
      </c>
      <c r="D151" s="6" t="str">
        <f>"女"</f>
        <v>女</v>
      </c>
      <c r="E151" s="6" t="str">
        <f>"1990-01-18"</f>
        <v>1990-01-18</v>
      </c>
      <c r="F151" s="6" t="str">
        <f>"上海第二工业大学"</f>
        <v>上海第二工业大学</v>
      </c>
      <c r="G151" s="6" t="str">
        <f aca="true" t="shared" si="65" ref="G151:G154">"计算机科学与技术"</f>
        <v>计算机科学与技术</v>
      </c>
      <c r="H151" s="6" t="str">
        <f t="shared" si="64"/>
        <v>本科</v>
      </c>
      <c r="I151" s="8" t="s">
        <v>16</v>
      </c>
    </row>
    <row r="152" spans="1:9" ht="24" customHeight="1">
      <c r="A152" s="5">
        <v>150</v>
      </c>
      <c r="B152" s="6" t="s">
        <v>21</v>
      </c>
      <c r="C152" s="6" t="str">
        <f>"董怀燕"</f>
        <v>董怀燕</v>
      </c>
      <c r="D152" s="6" t="str">
        <f>"女"</f>
        <v>女</v>
      </c>
      <c r="E152" s="6" t="str">
        <f>"1997-09-29"</f>
        <v>1997-09-29</v>
      </c>
      <c r="F152" s="6" t="str">
        <f>"山西医科大学"</f>
        <v>山西医科大学</v>
      </c>
      <c r="G152" s="6" t="str">
        <f>"信息管理与信息系统（医药方向）"</f>
        <v>信息管理与信息系统（医药方向）</v>
      </c>
      <c r="H152" s="6" t="str">
        <f t="shared" si="64"/>
        <v>本科</v>
      </c>
      <c r="I152" s="8" t="s">
        <v>16</v>
      </c>
    </row>
    <row r="153" spans="1:9" ht="24" customHeight="1">
      <c r="A153" s="5">
        <v>151</v>
      </c>
      <c r="B153" s="6" t="s">
        <v>21</v>
      </c>
      <c r="C153" s="6" t="str">
        <f>"伍世海"</f>
        <v>伍世海</v>
      </c>
      <c r="D153" s="6" t="str">
        <f aca="true" t="shared" si="66" ref="D153:D156">"男"</f>
        <v>男</v>
      </c>
      <c r="E153" s="6" t="str">
        <f>"1992-07-23"</f>
        <v>1992-07-23</v>
      </c>
      <c r="F153" s="6" t="str">
        <f>"海口经济学院"</f>
        <v>海口经济学院</v>
      </c>
      <c r="G153" s="6" t="str">
        <f t="shared" si="65"/>
        <v>计算机科学与技术</v>
      </c>
      <c r="H153" s="6" t="str">
        <f t="shared" si="64"/>
        <v>本科</v>
      </c>
      <c r="I153" s="8" t="s">
        <v>16</v>
      </c>
    </row>
    <row r="154" spans="1:9" ht="24" customHeight="1">
      <c r="A154" s="5">
        <v>152</v>
      </c>
      <c r="B154" s="6" t="s">
        <v>21</v>
      </c>
      <c r="C154" s="6" t="str">
        <f>"王理彬"</f>
        <v>王理彬</v>
      </c>
      <c r="D154" s="6" t="str">
        <f t="shared" si="66"/>
        <v>男</v>
      </c>
      <c r="E154" s="6" t="str">
        <f>"1988-07-30"</f>
        <v>1988-07-30</v>
      </c>
      <c r="F154" s="6" t="str">
        <f>"吉林工商学院"</f>
        <v>吉林工商学院</v>
      </c>
      <c r="G154" s="6" t="str">
        <f t="shared" si="65"/>
        <v>计算机科学与技术</v>
      </c>
      <c r="H154" s="6" t="str">
        <f t="shared" si="64"/>
        <v>本科</v>
      </c>
      <c r="I154" s="8" t="s">
        <v>16</v>
      </c>
    </row>
    <row r="155" spans="1:9" ht="24" customHeight="1">
      <c r="A155" s="5">
        <v>153</v>
      </c>
      <c r="B155" s="6" t="s">
        <v>21</v>
      </c>
      <c r="C155" s="6" t="str">
        <f>"梁业进"</f>
        <v>梁业进</v>
      </c>
      <c r="D155" s="6" t="str">
        <f t="shared" si="66"/>
        <v>男</v>
      </c>
      <c r="E155" s="6" t="str">
        <f>"1996-06-01"</f>
        <v>1996-06-01</v>
      </c>
      <c r="F155" s="6" t="str">
        <f>"热带海洋大学"</f>
        <v>热带海洋大学</v>
      </c>
      <c r="G155" s="6" t="str">
        <f>"数字媒体技术"</f>
        <v>数字媒体技术</v>
      </c>
      <c r="H155" s="6" t="str">
        <f t="shared" si="64"/>
        <v>本科</v>
      </c>
      <c r="I155" s="8" t="s">
        <v>16</v>
      </c>
    </row>
    <row r="156" spans="1:9" ht="24" customHeight="1">
      <c r="A156" s="5">
        <v>154</v>
      </c>
      <c r="B156" s="6" t="s">
        <v>21</v>
      </c>
      <c r="C156" s="6" t="str">
        <f>"徐光晨"</f>
        <v>徐光晨</v>
      </c>
      <c r="D156" s="6" t="str">
        <f t="shared" si="66"/>
        <v>男</v>
      </c>
      <c r="E156" s="6" t="str">
        <f>"1990-11-13"</f>
        <v>1990-11-13</v>
      </c>
      <c r="F156" s="6" t="str">
        <f>"西安电力高等专科学校"</f>
        <v>西安电力高等专科学校</v>
      </c>
      <c r="G156" s="6" t="str">
        <f>"计算机通信"</f>
        <v>计算机通信</v>
      </c>
      <c r="H156" s="6" t="str">
        <f>"大专"</f>
        <v>大专</v>
      </c>
      <c r="I156" s="8" t="s">
        <v>16</v>
      </c>
    </row>
    <row r="157" spans="1:9" ht="24" customHeight="1">
      <c r="A157" s="5">
        <v>155</v>
      </c>
      <c r="B157" s="6" t="s">
        <v>21</v>
      </c>
      <c r="C157" s="6" t="str">
        <f>"李化蝶"</f>
        <v>李化蝶</v>
      </c>
      <c r="D157" s="6" t="str">
        <f aca="true" t="shared" si="67" ref="D157:D163">"女"</f>
        <v>女</v>
      </c>
      <c r="E157" s="6" t="str">
        <f>"1994-02-14"</f>
        <v>1994-02-14</v>
      </c>
      <c r="F157" s="6" t="str">
        <f>"合肥工业大学"</f>
        <v>合肥工业大学</v>
      </c>
      <c r="G157" s="6" t="str">
        <f>"信息与计算科学"</f>
        <v>信息与计算科学</v>
      </c>
      <c r="H157" s="6" t="str">
        <f aca="true" t="shared" si="68" ref="H157:H161">"本科"</f>
        <v>本科</v>
      </c>
      <c r="I157" s="8" t="s">
        <v>16</v>
      </c>
    </row>
    <row r="158" spans="1:9" ht="24" customHeight="1">
      <c r="A158" s="5">
        <v>156</v>
      </c>
      <c r="B158" s="6" t="s">
        <v>21</v>
      </c>
      <c r="C158" s="6" t="str">
        <f>"黄业栋"</f>
        <v>黄业栋</v>
      </c>
      <c r="D158" s="6" t="str">
        <f>"男"</f>
        <v>男</v>
      </c>
      <c r="E158" s="6" t="str">
        <f>"1983-05-10"</f>
        <v>1983-05-10</v>
      </c>
      <c r="F158" s="6" t="str">
        <f>"海南大学"</f>
        <v>海南大学</v>
      </c>
      <c r="G158" s="6" t="str">
        <f>"计算机应用技术"</f>
        <v>计算机应用技术</v>
      </c>
      <c r="H158" s="6" t="str">
        <f>"大专"</f>
        <v>大专</v>
      </c>
      <c r="I158" s="8" t="s">
        <v>16</v>
      </c>
    </row>
    <row r="159" spans="1:9" ht="24" customHeight="1">
      <c r="A159" s="5">
        <v>157</v>
      </c>
      <c r="B159" s="6" t="s">
        <v>21</v>
      </c>
      <c r="C159" s="6" t="str">
        <f>"林蝶"</f>
        <v>林蝶</v>
      </c>
      <c r="D159" s="6" t="str">
        <f t="shared" si="67"/>
        <v>女</v>
      </c>
      <c r="E159" s="6" t="str">
        <f>"1995-08-18"</f>
        <v>1995-08-18</v>
      </c>
      <c r="F159" s="6" t="str">
        <f>"鲁东大学"</f>
        <v>鲁东大学</v>
      </c>
      <c r="G159" s="6" t="str">
        <f>"计算机科学与技术"</f>
        <v>计算机科学与技术</v>
      </c>
      <c r="H159" s="6" t="str">
        <f t="shared" si="68"/>
        <v>本科</v>
      </c>
      <c r="I159" s="8" t="s">
        <v>16</v>
      </c>
    </row>
    <row r="160" spans="1:9" ht="24" customHeight="1">
      <c r="A160" s="5">
        <v>158</v>
      </c>
      <c r="B160" s="6" t="s">
        <v>21</v>
      </c>
      <c r="C160" s="6" t="str">
        <f>"谢如蕊"</f>
        <v>谢如蕊</v>
      </c>
      <c r="D160" s="6" t="str">
        <f t="shared" si="67"/>
        <v>女</v>
      </c>
      <c r="E160" s="6" t="str">
        <f>"1992-01-08"</f>
        <v>1992-01-08</v>
      </c>
      <c r="F160" s="6" t="str">
        <f>"昆明理工大学"</f>
        <v>昆明理工大学</v>
      </c>
      <c r="G160" s="6" t="str">
        <f>"电子信息工程"</f>
        <v>电子信息工程</v>
      </c>
      <c r="H160" s="6" t="str">
        <f t="shared" si="68"/>
        <v>本科</v>
      </c>
      <c r="I160" s="8" t="s">
        <v>16</v>
      </c>
    </row>
    <row r="161" spans="1:9" ht="24" customHeight="1">
      <c r="A161" s="5">
        <v>159</v>
      </c>
      <c r="B161" s="6" t="s">
        <v>21</v>
      </c>
      <c r="C161" s="6" t="str">
        <f>"赵春艳"</f>
        <v>赵春艳</v>
      </c>
      <c r="D161" s="6" t="str">
        <f t="shared" si="67"/>
        <v>女</v>
      </c>
      <c r="E161" s="6" t="str">
        <f>"1985-08-12"</f>
        <v>1985-08-12</v>
      </c>
      <c r="F161" s="6" t="str">
        <f>"云南师范大学"</f>
        <v>云南师范大学</v>
      </c>
      <c r="G161" s="6" t="str">
        <f>"计算机科学与技术"</f>
        <v>计算机科学与技术</v>
      </c>
      <c r="H161" s="6" t="str">
        <f t="shared" si="68"/>
        <v>本科</v>
      </c>
      <c r="I161" s="8" t="s">
        <v>16</v>
      </c>
    </row>
    <row r="162" spans="1:9" ht="24" customHeight="1">
      <c r="A162" s="5">
        <v>160</v>
      </c>
      <c r="B162" s="6" t="s">
        <v>21</v>
      </c>
      <c r="C162" s="6" t="str">
        <f>"王柳玲"</f>
        <v>王柳玲</v>
      </c>
      <c r="D162" s="6" t="str">
        <f t="shared" si="67"/>
        <v>女</v>
      </c>
      <c r="E162" s="6" t="str">
        <f>"1990-07-07"</f>
        <v>1990-07-07</v>
      </c>
      <c r="F162" s="6" t="str">
        <f>"琼台师范高等专科学校（现为琼台师范学院）"</f>
        <v>琼台师范高等专科学校（现为琼台师范学院）</v>
      </c>
      <c r="G162" s="6" t="str">
        <f>"计算机应用技术专业"</f>
        <v>计算机应用技术专业</v>
      </c>
      <c r="H162" s="6" t="str">
        <f>"大专"</f>
        <v>大专</v>
      </c>
      <c r="I162" s="8" t="s">
        <v>16</v>
      </c>
    </row>
    <row r="163" spans="1:9" ht="24" customHeight="1">
      <c r="A163" s="5">
        <v>161</v>
      </c>
      <c r="B163" s="6" t="s">
        <v>21</v>
      </c>
      <c r="C163" s="6" t="str">
        <f>"林珺"</f>
        <v>林珺</v>
      </c>
      <c r="D163" s="6" t="str">
        <f t="shared" si="67"/>
        <v>女</v>
      </c>
      <c r="E163" s="6" t="str">
        <f>"1996-06-17"</f>
        <v>1996-06-17</v>
      </c>
      <c r="F163" s="6" t="str">
        <f>"常熟理工学院"</f>
        <v>常熟理工学院</v>
      </c>
      <c r="G163" s="6" t="str">
        <f>"电子科学与技术"</f>
        <v>电子科学与技术</v>
      </c>
      <c r="H163" s="6" t="str">
        <f aca="true" t="shared" si="69" ref="H163:H169">"本科"</f>
        <v>本科</v>
      </c>
      <c r="I163" s="8" t="s">
        <v>16</v>
      </c>
    </row>
    <row r="164" spans="1:9" ht="24" customHeight="1">
      <c r="A164" s="5">
        <v>162</v>
      </c>
      <c r="B164" s="6" t="s">
        <v>21</v>
      </c>
      <c r="C164" s="6" t="str">
        <f>"洪海"</f>
        <v>洪海</v>
      </c>
      <c r="D164" s="6" t="str">
        <f aca="true" t="shared" si="70" ref="D164:D168">"男"</f>
        <v>男</v>
      </c>
      <c r="E164" s="6" t="str">
        <f>"1992-08-02"</f>
        <v>1992-08-02</v>
      </c>
      <c r="F164" s="6" t="str">
        <f>"三明学院"</f>
        <v>三明学院</v>
      </c>
      <c r="G164" s="6" t="str">
        <f>"网络工程（物联网技术方向）"</f>
        <v>网络工程（物联网技术方向）</v>
      </c>
      <c r="H164" s="6" t="str">
        <f t="shared" si="69"/>
        <v>本科</v>
      </c>
      <c r="I164" s="8" t="s">
        <v>16</v>
      </c>
    </row>
    <row r="165" spans="1:9" ht="24" customHeight="1">
      <c r="A165" s="5">
        <v>163</v>
      </c>
      <c r="B165" s="6" t="s">
        <v>21</v>
      </c>
      <c r="C165" s="6" t="str">
        <f>"许小芬"</f>
        <v>许小芬</v>
      </c>
      <c r="D165" s="6" t="str">
        <f aca="true" t="shared" si="71" ref="D165:D169">"女"</f>
        <v>女</v>
      </c>
      <c r="E165" s="6" t="str">
        <f>"1992-08-16"</f>
        <v>1992-08-16</v>
      </c>
      <c r="F165" s="6" t="str">
        <f>"太原理工大学"</f>
        <v>太原理工大学</v>
      </c>
      <c r="G165" s="6" t="str">
        <f>"光信息科学与技术"</f>
        <v>光信息科学与技术</v>
      </c>
      <c r="H165" s="6" t="str">
        <f t="shared" si="69"/>
        <v>本科</v>
      </c>
      <c r="I165" s="8" t="s">
        <v>16</v>
      </c>
    </row>
    <row r="166" spans="1:9" ht="24" customHeight="1">
      <c r="A166" s="5">
        <v>164</v>
      </c>
      <c r="B166" s="6" t="s">
        <v>21</v>
      </c>
      <c r="C166" s="6" t="str">
        <f>"朱晓芬"</f>
        <v>朱晓芬</v>
      </c>
      <c r="D166" s="6" t="str">
        <f t="shared" si="71"/>
        <v>女</v>
      </c>
      <c r="E166" s="6" t="str">
        <f>"1996-03-19"</f>
        <v>1996-03-19</v>
      </c>
      <c r="F166" s="6" t="str">
        <f>"海南医学院"</f>
        <v>海南医学院</v>
      </c>
      <c r="G166" s="6" t="str">
        <f>"信息管理与信息系统"</f>
        <v>信息管理与信息系统</v>
      </c>
      <c r="H166" s="6" t="str">
        <f t="shared" si="69"/>
        <v>本科</v>
      </c>
      <c r="I166" s="8" t="s">
        <v>12</v>
      </c>
    </row>
    <row r="167" spans="1:9" ht="24" customHeight="1">
      <c r="A167" s="5">
        <v>165</v>
      </c>
      <c r="B167" s="6" t="s">
        <v>21</v>
      </c>
      <c r="C167" s="6" t="str">
        <f>"吴就"</f>
        <v>吴就</v>
      </c>
      <c r="D167" s="6" t="str">
        <f t="shared" si="70"/>
        <v>男</v>
      </c>
      <c r="E167" s="6" t="str">
        <f>"1995-02-10"</f>
        <v>1995-02-10</v>
      </c>
      <c r="F167" s="6" t="str">
        <f>"烟台大学"</f>
        <v>烟台大学</v>
      </c>
      <c r="G167" s="6" t="str">
        <f>"信息与计算科学"</f>
        <v>信息与计算科学</v>
      </c>
      <c r="H167" s="6" t="str">
        <f t="shared" si="69"/>
        <v>本科</v>
      </c>
      <c r="I167" s="8" t="s">
        <v>16</v>
      </c>
    </row>
    <row r="168" spans="1:9" ht="24" customHeight="1">
      <c r="A168" s="5">
        <v>166</v>
      </c>
      <c r="B168" s="6" t="s">
        <v>21</v>
      </c>
      <c r="C168" s="6" t="str">
        <f>"郑耀耀"</f>
        <v>郑耀耀</v>
      </c>
      <c r="D168" s="6" t="str">
        <f t="shared" si="70"/>
        <v>男</v>
      </c>
      <c r="E168" s="6" t="str">
        <f>"1990-10-16"</f>
        <v>1990-10-16</v>
      </c>
      <c r="F168" s="6" t="str">
        <f>"长江大学工程技术学院"</f>
        <v>长江大学工程技术学院</v>
      </c>
      <c r="G168" s="6" t="str">
        <f>"电子信息工程"</f>
        <v>电子信息工程</v>
      </c>
      <c r="H168" s="6" t="str">
        <f t="shared" si="69"/>
        <v>本科</v>
      </c>
      <c r="I168" s="8" t="s">
        <v>16</v>
      </c>
    </row>
    <row r="169" spans="1:9" ht="24" customHeight="1">
      <c r="A169" s="5">
        <v>167</v>
      </c>
      <c r="B169" s="6" t="s">
        <v>21</v>
      </c>
      <c r="C169" s="6" t="str">
        <f>"李洁"</f>
        <v>李洁</v>
      </c>
      <c r="D169" s="6" t="str">
        <f t="shared" si="71"/>
        <v>女</v>
      </c>
      <c r="E169" s="6" t="str">
        <f>"1988-04-08"</f>
        <v>1988-04-08</v>
      </c>
      <c r="F169" s="6" t="str">
        <f>"湖南科技学院"</f>
        <v>湖南科技学院</v>
      </c>
      <c r="G169" s="6" t="str">
        <f>"电子信息工程"</f>
        <v>电子信息工程</v>
      </c>
      <c r="H169" s="6" t="str">
        <f t="shared" si="69"/>
        <v>本科</v>
      </c>
      <c r="I169" s="8" t="s">
        <v>16</v>
      </c>
    </row>
    <row r="170" spans="1:9" ht="24" customHeight="1">
      <c r="A170" s="5">
        <v>168</v>
      </c>
      <c r="B170" s="6" t="s">
        <v>21</v>
      </c>
      <c r="C170" s="6" t="str">
        <f>"周亚堪"</f>
        <v>周亚堪</v>
      </c>
      <c r="D170" s="6" t="str">
        <f aca="true" t="shared" si="72" ref="D170:D174">"男"</f>
        <v>男</v>
      </c>
      <c r="E170" s="6" t="str">
        <f>"1982-08-26"</f>
        <v>1982-08-26</v>
      </c>
      <c r="F170" s="6" t="str">
        <f>"湖北省仙桃职业学院"</f>
        <v>湖北省仙桃职业学院</v>
      </c>
      <c r="G170" s="6" t="str">
        <f>"应用电子信息技术"</f>
        <v>应用电子信息技术</v>
      </c>
      <c r="H170" s="6" t="str">
        <f>"大专"</f>
        <v>大专</v>
      </c>
      <c r="I170" s="8" t="s">
        <v>16</v>
      </c>
    </row>
    <row r="171" spans="1:9" ht="24" customHeight="1">
      <c r="A171" s="5">
        <v>169</v>
      </c>
      <c r="B171" s="6" t="s">
        <v>21</v>
      </c>
      <c r="C171" s="6" t="str">
        <f>"韦双双"</f>
        <v>韦双双</v>
      </c>
      <c r="D171" s="6" t="str">
        <f>"女"</f>
        <v>女</v>
      </c>
      <c r="E171" s="6" t="str">
        <f>"1998-01-06"</f>
        <v>1998-01-06</v>
      </c>
      <c r="F171" s="6" t="str">
        <f aca="true" t="shared" si="73" ref="F171:F178">"海南医学院"</f>
        <v>海南医学院</v>
      </c>
      <c r="G171" s="6" t="str">
        <f>"信息管理与信息系统"</f>
        <v>信息管理与信息系统</v>
      </c>
      <c r="H171" s="6" t="str">
        <f aca="true" t="shared" si="74" ref="H171:H197">"本科"</f>
        <v>本科</v>
      </c>
      <c r="I171" s="8" t="s">
        <v>16</v>
      </c>
    </row>
    <row r="172" spans="1:9" ht="24" customHeight="1">
      <c r="A172" s="5">
        <v>170</v>
      </c>
      <c r="B172" s="6" t="s">
        <v>21</v>
      </c>
      <c r="C172" s="6" t="str">
        <f>"李可可"</f>
        <v>李可可</v>
      </c>
      <c r="D172" s="6" t="str">
        <f t="shared" si="72"/>
        <v>男</v>
      </c>
      <c r="E172" s="6" t="str">
        <f>"1998-11-11"</f>
        <v>1998-11-11</v>
      </c>
      <c r="F172" s="6" t="str">
        <f>"宁夏大学新华学院"</f>
        <v>宁夏大学新华学院</v>
      </c>
      <c r="G172" s="6" t="str">
        <f>"计算机科学与技术"</f>
        <v>计算机科学与技术</v>
      </c>
      <c r="H172" s="6" t="str">
        <f t="shared" si="74"/>
        <v>本科</v>
      </c>
      <c r="I172" s="8" t="s">
        <v>16</v>
      </c>
    </row>
    <row r="173" spans="1:9" ht="24" customHeight="1">
      <c r="A173" s="5">
        <v>171</v>
      </c>
      <c r="B173" s="6" t="s">
        <v>21</v>
      </c>
      <c r="C173" s="6" t="str">
        <f>"栗子伟"</f>
        <v>栗子伟</v>
      </c>
      <c r="D173" s="6" t="str">
        <f t="shared" si="72"/>
        <v>男</v>
      </c>
      <c r="E173" s="6" t="str">
        <f>"1994-11-30"</f>
        <v>1994-11-30</v>
      </c>
      <c r="F173" s="6" t="str">
        <f>"河北传媒学院"</f>
        <v>河北传媒学院</v>
      </c>
      <c r="G173" s="6" t="str">
        <f>"计算机信息管理"</f>
        <v>计算机信息管理</v>
      </c>
      <c r="H173" s="6" t="str">
        <f>"大专"</f>
        <v>大专</v>
      </c>
      <c r="I173" s="8" t="s">
        <v>16</v>
      </c>
    </row>
    <row r="174" spans="1:9" ht="24" customHeight="1">
      <c r="A174" s="5">
        <v>172</v>
      </c>
      <c r="B174" s="6" t="s">
        <v>21</v>
      </c>
      <c r="C174" s="6" t="str">
        <f>"汤伟"</f>
        <v>汤伟</v>
      </c>
      <c r="D174" s="6" t="str">
        <f t="shared" si="72"/>
        <v>男</v>
      </c>
      <c r="E174" s="6" t="str">
        <f>"1995-10-08"</f>
        <v>1995-10-08</v>
      </c>
      <c r="F174" s="6" t="str">
        <f t="shared" si="73"/>
        <v>海南医学院</v>
      </c>
      <c r="G174" s="6" t="str">
        <f>"信息管理与信息系统"</f>
        <v>信息管理与信息系统</v>
      </c>
      <c r="H174" s="6" t="str">
        <f t="shared" si="74"/>
        <v>本科</v>
      </c>
      <c r="I174" s="8" t="s">
        <v>16</v>
      </c>
    </row>
    <row r="175" spans="1:9" ht="24" customHeight="1">
      <c r="A175" s="5">
        <v>173</v>
      </c>
      <c r="B175" s="6" t="s">
        <v>22</v>
      </c>
      <c r="C175" s="6" t="str">
        <f>"李冰"</f>
        <v>李冰</v>
      </c>
      <c r="D175" s="6" t="str">
        <f>"女"</f>
        <v>女</v>
      </c>
      <c r="E175" s="6" t="str">
        <f>"1996-08-09"</f>
        <v>1996-08-09</v>
      </c>
      <c r="F175" s="6" t="str">
        <f>"长治医学院"</f>
        <v>长治医学院</v>
      </c>
      <c r="G175" s="6" t="str">
        <f aca="true" t="shared" si="75" ref="G175:G178">"医学影像学"</f>
        <v>医学影像学</v>
      </c>
      <c r="H175" s="6" t="str">
        <f t="shared" si="74"/>
        <v>本科</v>
      </c>
      <c r="I175" s="8" t="s">
        <v>12</v>
      </c>
    </row>
    <row r="176" spans="1:9" ht="24" customHeight="1">
      <c r="A176" s="5">
        <v>174</v>
      </c>
      <c r="B176" s="6" t="s">
        <v>23</v>
      </c>
      <c r="C176" s="6" t="str">
        <f>"刘元通"</f>
        <v>刘元通</v>
      </c>
      <c r="D176" s="6" t="str">
        <f aca="true" t="shared" si="76" ref="D176:D179">"男"</f>
        <v>男</v>
      </c>
      <c r="E176" s="6" t="str">
        <f>"1990-04-22"</f>
        <v>1990-04-22</v>
      </c>
      <c r="F176" s="6" t="str">
        <f t="shared" si="73"/>
        <v>海南医学院</v>
      </c>
      <c r="G176" s="6" t="str">
        <f t="shared" si="75"/>
        <v>医学影像学</v>
      </c>
      <c r="H176" s="6" t="str">
        <f t="shared" si="74"/>
        <v>本科</v>
      </c>
      <c r="I176" s="8" t="s">
        <v>12</v>
      </c>
    </row>
    <row r="177" spans="1:9" ht="24" customHeight="1">
      <c r="A177" s="5">
        <v>175</v>
      </c>
      <c r="B177" s="6" t="s">
        <v>23</v>
      </c>
      <c r="C177" s="6" t="str">
        <f>"杨旭龙"</f>
        <v>杨旭龙</v>
      </c>
      <c r="D177" s="6" t="str">
        <f t="shared" si="76"/>
        <v>男</v>
      </c>
      <c r="E177" s="6" t="str">
        <f>"1993-11-19"</f>
        <v>1993-11-19</v>
      </c>
      <c r="F177" s="6" t="str">
        <f t="shared" si="73"/>
        <v>海南医学院</v>
      </c>
      <c r="G177" s="6" t="str">
        <f t="shared" si="75"/>
        <v>医学影像学</v>
      </c>
      <c r="H177" s="6" t="str">
        <f t="shared" si="74"/>
        <v>本科</v>
      </c>
      <c r="I177" s="8" t="s">
        <v>12</v>
      </c>
    </row>
    <row r="178" spans="1:9" ht="24" customHeight="1">
      <c r="A178" s="5">
        <v>176</v>
      </c>
      <c r="B178" s="6" t="s">
        <v>23</v>
      </c>
      <c r="C178" s="6" t="str">
        <f>"沈河任"</f>
        <v>沈河任</v>
      </c>
      <c r="D178" s="6" t="str">
        <f t="shared" si="76"/>
        <v>男</v>
      </c>
      <c r="E178" s="6" t="str">
        <f>"1993-04-08"</f>
        <v>1993-04-08</v>
      </c>
      <c r="F178" s="6" t="str">
        <f t="shared" si="73"/>
        <v>海南医学院</v>
      </c>
      <c r="G178" s="6" t="str">
        <f t="shared" si="75"/>
        <v>医学影像学</v>
      </c>
      <c r="H178" s="6" t="str">
        <f t="shared" si="74"/>
        <v>本科</v>
      </c>
      <c r="I178" s="8" t="s">
        <v>12</v>
      </c>
    </row>
    <row r="179" spans="1:9" ht="24" customHeight="1">
      <c r="A179" s="5">
        <v>177</v>
      </c>
      <c r="B179" s="6" t="s">
        <v>24</v>
      </c>
      <c r="C179" s="6" t="str">
        <f>"张树森"</f>
        <v>张树森</v>
      </c>
      <c r="D179" s="6" t="str">
        <f t="shared" si="76"/>
        <v>男</v>
      </c>
      <c r="E179" s="6" t="str">
        <f>"1996-09-17"</f>
        <v>1996-09-17</v>
      </c>
      <c r="F179" s="6" t="str">
        <f>"黄河科技学院"</f>
        <v>黄河科技学院</v>
      </c>
      <c r="G179" s="6" t="str">
        <f aca="true" t="shared" si="77" ref="G179:G184">"医学影像技术"</f>
        <v>医学影像技术</v>
      </c>
      <c r="H179" s="6" t="str">
        <f t="shared" si="74"/>
        <v>本科</v>
      </c>
      <c r="I179" s="8" t="s">
        <v>16</v>
      </c>
    </row>
    <row r="180" spans="1:9" ht="24" customHeight="1">
      <c r="A180" s="5">
        <v>178</v>
      </c>
      <c r="B180" s="6" t="s">
        <v>24</v>
      </c>
      <c r="C180" s="6" t="str">
        <f>"周菊秋"</f>
        <v>周菊秋</v>
      </c>
      <c r="D180" s="6" t="str">
        <f aca="true" t="shared" si="78" ref="D180:D188">"女"</f>
        <v>女</v>
      </c>
      <c r="E180" s="6" t="str">
        <f>"1997-02-10"</f>
        <v>1997-02-10</v>
      </c>
      <c r="F180" s="6" t="str">
        <f>"河北东方学院"</f>
        <v>河北东方学院</v>
      </c>
      <c r="G180" s="6" t="str">
        <f t="shared" si="77"/>
        <v>医学影像技术</v>
      </c>
      <c r="H180" s="6" t="str">
        <f t="shared" si="74"/>
        <v>本科</v>
      </c>
      <c r="I180" s="8" t="s">
        <v>16</v>
      </c>
    </row>
    <row r="181" spans="1:9" ht="24" customHeight="1">
      <c r="A181" s="5">
        <v>179</v>
      </c>
      <c r="B181" s="6" t="s">
        <v>24</v>
      </c>
      <c r="C181" s="6" t="str">
        <f>"关姜山"</f>
        <v>关姜山</v>
      </c>
      <c r="D181" s="6" t="str">
        <f>"男"</f>
        <v>男</v>
      </c>
      <c r="E181" s="6" t="str">
        <f>"1995-05-02"</f>
        <v>1995-05-02</v>
      </c>
      <c r="F181" s="6" t="str">
        <f>"长治医学院"</f>
        <v>长治医学院</v>
      </c>
      <c r="G181" s="6" t="str">
        <f t="shared" si="77"/>
        <v>医学影像技术</v>
      </c>
      <c r="H181" s="6" t="str">
        <f t="shared" si="74"/>
        <v>本科</v>
      </c>
      <c r="I181" s="8" t="s">
        <v>16</v>
      </c>
    </row>
    <row r="182" spans="1:9" ht="24" customHeight="1">
      <c r="A182" s="5">
        <v>180</v>
      </c>
      <c r="B182" s="6" t="s">
        <v>24</v>
      </c>
      <c r="C182" s="6" t="str">
        <f>"彭诗雅"</f>
        <v>彭诗雅</v>
      </c>
      <c r="D182" s="6" t="str">
        <f t="shared" si="78"/>
        <v>女</v>
      </c>
      <c r="E182" s="6" t="str">
        <f>"1998-11-25"</f>
        <v>1998-11-25</v>
      </c>
      <c r="F182" s="6" t="str">
        <f>"广西中医药大学赛恩斯新医药学院"</f>
        <v>广西中医药大学赛恩斯新医药学院</v>
      </c>
      <c r="G182" s="6" t="str">
        <f t="shared" si="77"/>
        <v>医学影像技术</v>
      </c>
      <c r="H182" s="6" t="str">
        <f t="shared" si="74"/>
        <v>本科</v>
      </c>
      <c r="I182" s="8" t="s">
        <v>16</v>
      </c>
    </row>
    <row r="183" spans="1:9" ht="24" customHeight="1">
      <c r="A183" s="5">
        <v>181</v>
      </c>
      <c r="B183" s="6" t="s">
        <v>24</v>
      </c>
      <c r="C183" s="6" t="str">
        <f>"何秋谦"</f>
        <v>何秋谦</v>
      </c>
      <c r="D183" s="6" t="str">
        <f>"男"</f>
        <v>男</v>
      </c>
      <c r="E183" s="6" t="str">
        <f>"1997-04-23"</f>
        <v>1997-04-23</v>
      </c>
      <c r="F183" s="6" t="str">
        <f>"长沙医学院"</f>
        <v>长沙医学院</v>
      </c>
      <c r="G183" s="6" t="str">
        <f t="shared" si="77"/>
        <v>医学影像技术</v>
      </c>
      <c r="H183" s="6" t="str">
        <f t="shared" si="74"/>
        <v>本科</v>
      </c>
      <c r="I183" s="8" t="s">
        <v>16</v>
      </c>
    </row>
    <row r="184" spans="1:9" ht="24" customHeight="1">
      <c r="A184" s="5">
        <v>182</v>
      </c>
      <c r="B184" s="6" t="s">
        <v>24</v>
      </c>
      <c r="C184" s="6" t="str">
        <f>"叶美辰"</f>
        <v>叶美辰</v>
      </c>
      <c r="D184" s="6" t="str">
        <f t="shared" si="78"/>
        <v>女</v>
      </c>
      <c r="E184" s="6" t="str">
        <f>"1999-04-19"</f>
        <v>1999-04-19</v>
      </c>
      <c r="F184" s="6" t="str">
        <f>"齐齐哈尔医学院"</f>
        <v>齐齐哈尔医学院</v>
      </c>
      <c r="G184" s="6" t="str">
        <f t="shared" si="77"/>
        <v>医学影像技术</v>
      </c>
      <c r="H184" s="6" t="str">
        <f t="shared" si="74"/>
        <v>本科</v>
      </c>
      <c r="I184" s="8" t="s">
        <v>16</v>
      </c>
    </row>
    <row r="185" spans="1:9" ht="24" customHeight="1">
      <c r="A185" s="5">
        <v>183</v>
      </c>
      <c r="B185" s="6" t="s">
        <v>25</v>
      </c>
      <c r="C185" s="6" t="str">
        <f>"黄丹丹"</f>
        <v>黄丹丹</v>
      </c>
      <c r="D185" s="6" t="str">
        <f t="shared" si="78"/>
        <v>女</v>
      </c>
      <c r="E185" s="6" t="str">
        <f>"1993-07-12"</f>
        <v>1993-07-12</v>
      </c>
      <c r="F185" s="6" t="str">
        <f>"山西医科大学"</f>
        <v>山西医科大学</v>
      </c>
      <c r="G185" s="6" t="str">
        <f aca="true" t="shared" si="79" ref="G185:G187">"医学检验"</f>
        <v>医学检验</v>
      </c>
      <c r="H185" s="6" t="str">
        <f t="shared" si="74"/>
        <v>本科</v>
      </c>
      <c r="I185" s="8" t="s">
        <v>12</v>
      </c>
    </row>
    <row r="186" spans="1:9" ht="24" customHeight="1">
      <c r="A186" s="5">
        <v>184</v>
      </c>
      <c r="B186" s="6" t="s">
        <v>25</v>
      </c>
      <c r="C186" s="6" t="str">
        <f>"黄佳敏"</f>
        <v>黄佳敏</v>
      </c>
      <c r="D186" s="6" t="str">
        <f t="shared" si="78"/>
        <v>女</v>
      </c>
      <c r="E186" s="6" t="str">
        <f>"1994-09-23"</f>
        <v>1994-09-23</v>
      </c>
      <c r="F186" s="6" t="str">
        <f>"河北北方学院"</f>
        <v>河北北方学院</v>
      </c>
      <c r="G186" s="6" t="str">
        <f t="shared" si="79"/>
        <v>医学检验</v>
      </c>
      <c r="H186" s="6" t="str">
        <f t="shared" si="74"/>
        <v>本科</v>
      </c>
      <c r="I186" s="8" t="s">
        <v>12</v>
      </c>
    </row>
    <row r="187" spans="1:9" ht="24" customHeight="1">
      <c r="A187" s="5">
        <v>185</v>
      </c>
      <c r="B187" s="6" t="s">
        <v>25</v>
      </c>
      <c r="C187" s="6" t="str">
        <f>"吴秋香"</f>
        <v>吴秋香</v>
      </c>
      <c r="D187" s="6" t="str">
        <f t="shared" si="78"/>
        <v>女</v>
      </c>
      <c r="E187" s="6" t="str">
        <f>"1991-08-10"</f>
        <v>1991-08-10</v>
      </c>
      <c r="F187" s="6" t="str">
        <f>"河南科技大学"</f>
        <v>河南科技大学</v>
      </c>
      <c r="G187" s="6" t="str">
        <f t="shared" si="79"/>
        <v>医学检验</v>
      </c>
      <c r="H187" s="6" t="str">
        <f t="shared" si="74"/>
        <v>本科</v>
      </c>
      <c r="I187" s="8" t="s">
        <v>12</v>
      </c>
    </row>
    <row r="188" spans="1:9" ht="24" customHeight="1">
      <c r="A188" s="5">
        <v>186</v>
      </c>
      <c r="B188" s="6" t="s">
        <v>25</v>
      </c>
      <c r="C188" s="6" t="str">
        <f>"何芳蓉"</f>
        <v>何芳蓉</v>
      </c>
      <c r="D188" s="6" t="str">
        <f t="shared" si="78"/>
        <v>女</v>
      </c>
      <c r="E188" s="6" t="str">
        <f>"1995-08-27"</f>
        <v>1995-08-27</v>
      </c>
      <c r="F188" s="6" t="str">
        <f>"川北医学院"</f>
        <v>川北医学院</v>
      </c>
      <c r="G188" s="6" t="str">
        <f>"医学检验技术专业"</f>
        <v>医学检验技术专业</v>
      </c>
      <c r="H188" s="6" t="str">
        <f t="shared" si="74"/>
        <v>本科</v>
      </c>
      <c r="I188" s="8" t="s">
        <v>12</v>
      </c>
    </row>
    <row r="189" spans="1:9" ht="24" customHeight="1">
      <c r="A189" s="5">
        <v>187</v>
      </c>
      <c r="B189" s="6" t="s">
        <v>25</v>
      </c>
      <c r="C189" s="6" t="str">
        <f>"吴育忠"</f>
        <v>吴育忠</v>
      </c>
      <c r="D189" s="6" t="str">
        <f>"男"</f>
        <v>男</v>
      </c>
      <c r="E189" s="6" t="str">
        <f>"1992-08-17"</f>
        <v>1992-08-17</v>
      </c>
      <c r="F189" s="6" t="str">
        <f>"南华大学"</f>
        <v>南华大学</v>
      </c>
      <c r="G189" s="6" t="str">
        <f aca="true" t="shared" si="80" ref="G189:G193">"医学检验"</f>
        <v>医学检验</v>
      </c>
      <c r="H189" s="6" t="str">
        <f t="shared" si="74"/>
        <v>本科</v>
      </c>
      <c r="I189" s="8" t="s">
        <v>12</v>
      </c>
    </row>
    <row r="190" spans="1:9" ht="24" customHeight="1">
      <c r="A190" s="5">
        <v>188</v>
      </c>
      <c r="B190" s="6" t="s">
        <v>25</v>
      </c>
      <c r="C190" s="6" t="str">
        <f>"陈日琳"</f>
        <v>陈日琳</v>
      </c>
      <c r="D190" s="6" t="str">
        <f aca="true" t="shared" si="81" ref="D190:D200">"女"</f>
        <v>女</v>
      </c>
      <c r="E190" s="6" t="str">
        <f>"1995-01-08"</f>
        <v>1995-01-08</v>
      </c>
      <c r="F190" s="6" t="str">
        <f>"贵州医科大学"</f>
        <v>贵州医科大学</v>
      </c>
      <c r="G190" s="6" t="str">
        <f>"医学检验技术"</f>
        <v>医学检验技术</v>
      </c>
      <c r="H190" s="6" t="str">
        <f t="shared" si="74"/>
        <v>本科</v>
      </c>
      <c r="I190" s="8" t="s">
        <v>12</v>
      </c>
    </row>
    <row r="191" spans="1:9" ht="24" customHeight="1">
      <c r="A191" s="5">
        <v>189</v>
      </c>
      <c r="B191" s="6" t="s">
        <v>25</v>
      </c>
      <c r="C191" s="6" t="str">
        <f>"王玉女"</f>
        <v>王玉女</v>
      </c>
      <c r="D191" s="6" t="str">
        <f t="shared" si="81"/>
        <v>女</v>
      </c>
      <c r="E191" s="6" t="str">
        <f>"1991-12-18"</f>
        <v>1991-12-18</v>
      </c>
      <c r="F191" s="6" t="str">
        <f>"佛山科学技术学院"</f>
        <v>佛山科学技术学院</v>
      </c>
      <c r="G191" s="6" t="str">
        <f t="shared" si="80"/>
        <v>医学检验</v>
      </c>
      <c r="H191" s="6" t="str">
        <f t="shared" si="74"/>
        <v>本科</v>
      </c>
      <c r="I191" s="8" t="s">
        <v>12</v>
      </c>
    </row>
    <row r="192" spans="1:9" ht="24" customHeight="1">
      <c r="A192" s="5">
        <v>190</v>
      </c>
      <c r="B192" s="6" t="s">
        <v>25</v>
      </c>
      <c r="C192" s="6" t="str">
        <f>"刘洁球"</f>
        <v>刘洁球</v>
      </c>
      <c r="D192" s="6" t="str">
        <f t="shared" si="81"/>
        <v>女</v>
      </c>
      <c r="E192" s="6" t="str">
        <f>"1992-10-20"</f>
        <v>1992-10-20</v>
      </c>
      <c r="F192" s="6" t="str">
        <f aca="true" t="shared" si="82" ref="F192:F196">"海南医学院"</f>
        <v>海南医学院</v>
      </c>
      <c r="G192" s="6" t="str">
        <f t="shared" si="80"/>
        <v>医学检验</v>
      </c>
      <c r="H192" s="6" t="str">
        <f t="shared" si="74"/>
        <v>本科</v>
      </c>
      <c r="I192" s="8" t="s">
        <v>12</v>
      </c>
    </row>
    <row r="193" spans="1:9" ht="24" customHeight="1">
      <c r="A193" s="5">
        <v>191</v>
      </c>
      <c r="B193" s="6" t="s">
        <v>25</v>
      </c>
      <c r="C193" s="6" t="str">
        <f>"陈春婉"</f>
        <v>陈春婉</v>
      </c>
      <c r="D193" s="6" t="str">
        <f t="shared" si="81"/>
        <v>女</v>
      </c>
      <c r="E193" s="6" t="str">
        <f>"1992-05-21"</f>
        <v>1992-05-21</v>
      </c>
      <c r="F193" s="6" t="str">
        <f>"兰州大学"</f>
        <v>兰州大学</v>
      </c>
      <c r="G193" s="6" t="str">
        <f t="shared" si="80"/>
        <v>医学检验</v>
      </c>
      <c r="H193" s="6" t="str">
        <f t="shared" si="74"/>
        <v>本科</v>
      </c>
      <c r="I193" s="8" t="s">
        <v>12</v>
      </c>
    </row>
    <row r="194" spans="1:9" ht="24" customHeight="1">
      <c r="A194" s="5">
        <v>192</v>
      </c>
      <c r="B194" s="6" t="s">
        <v>25</v>
      </c>
      <c r="C194" s="6" t="str">
        <f>"周芝龄"</f>
        <v>周芝龄</v>
      </c>
      <c r="D194" s="6" t="str">
        <f t="shared" si="81"/>
        <v>女</v>
      </c>
      <c r="E194" s="6" t="str">
        <f>"1996-10-08"</f>
        <v>1996-10-08</v>
      </c>
      <c r="F194" s="6" t="str">
        <f>"右江民族医学院"</f>
        <v>右江民族医学院</v>
      </c>
      <c r="G194" s="6" t="str">
        <f>"医学检验技术"</f>
        <v>医学检验技术</v>
      </c>
      <c r="H194" s="6" t="str">
        <f t="shared" si="74"/>
        <v>本科</v>
      </c>
      <c r="I194" s="8" t="s">
        <v>12</v>
      </c>
    </row>
    <row r="195" spans="1:9" ht="24" customHeight="1">
      <c r="A195" s="5">
        <v>193</v>
      </c>
      <c r="B195" s="6" t="s">
        <v>25</v>
      </c>
      <c r="C195" s="6" t="str">
        <f>"陈春羽"</f>
        <v>陈春羽</v>
      </c>
      <c r="D195" s="6" t="str">
        <f t="shared" si="81"/>
        <v>女</v>
      </c>
      <c r="E195" s="6" t="str">
        <f>"1990-11-08"</f>
        <v>1990-11-08</v>
      </c>
      <c r="F195" s="6" t="str">
        <f t="shared" si="82"/>
        <v>海南医学院</v>
      </c>
      <c r="G195" s="6" t="str">
        <f>"医学检验"</f>
        <v>医学检验</v>
      </c>
      <c r="H195" s="6" t="str">
        <f t="shared" si="74"/>
        <v>本科</v>
      </c>
      <c r="I195" s="8" t="s">
        <v>12</v>
      </c>
    </row>
    <row r="196" spans="1:9" ht="24" customHeight="1">
      <c r="A196" s="5">
        <v>194</v>
      </c>
      <c r="B196" s="6" t="s">
        <v>26</v>
      </c>
      <c r="C196" s="6" t="str">
        <f>"徐艳"</f>
        <v>徐艳</v>
      </c>
      <c r="D196" s="6" t="str">
        <f t="shared" si="81"/>
        <v>女</v>
      </c>
      <c r="E196" s="6" t="str">
        <f>"1997-01-12"</f>
        <v>1997-01-12</v>
      </c>
      <c r="F196" s="6" t="str">
        <f t="shared" si="82"/>
        <v>海南医学院</v>
      </c>
      <c r="G196" s="6" t="str">
        <f>"中药学"</f>
        <v>中药学</v>
      </c>
      <c r="H196" s="6" t="str">
        <f t="shared" si="74"/>
        <v>本科</v>
      </c>
      <c r="I196" s="8" t="s">
        <v>16</v>
      </c>
    </row>
    <row r="197" spans="1:9" ht="24" customHeight="1">
      <c r="A197" s="5">
        <v>195</v>
      </c>
      <c r="B197" s="6" t="s">
        <v>26</v>
      </c>
      <c r="C197" s="6" t="str">
        <f>"杨春妹"</f>
        <v>杨春妹</v>
      </c>
      <c r="D197" s="6" t="str">
        <f t="shared" si="81"/>
        <v>女</v>
      </c>
      <c r="E197" s="6" t="str">
        <f>"1998-03-25"</f>
        <v>1998-03-25</v>
      </c>
      <c r="F197" s="6" t="str">
        <f>"南阳理工学院"</f>
        <v>南阳理工学院</v>
      </c>
      <c r="G197" s="6" t="str">
        <f>"中药学"</f>
        <v>中药学</v>
      </c>
      <c r="H197" s="6" t="str">
        <f t="shared" si="74"/>
        <v>本科</v>
      </c>
      <c r="I197" s="8" t="s">
        <v>16</v>
      </c>
    </row>
    <row r="198" spans="1:9" ht="24" customHeight="1">
      <c r="A198" s="5">
        <v>196</v>
      </c>
      <c r="B198" s="6" t="s">
        <v>27</v>
      </c>
      <c r="C198" s="6" t="str">
        <f>"朱铭兰"</f>
        <v>朱铭兰</v>
      </c>
      <c r="D198" s="6" t="str">
        <f t="shared" si="81"/>
        <v>女</v>
      </c>
      <c r="E198" s="6" t="str">
        <f>"2001-02-11"</f>
        <v>2001-02-11</v>
      </c>
      <c r="F198" s="6" t="str">
        <f aca="true" t="shared" si="83" ref="F198:F200">"海南医学院"</f>
        <v>海南医学院</v>
      </c>
      <c r="G198" s="6" t="str">
        <f>"护理学"</f>
        <v>护理学</v>
      </c>
      <c r="H198" s="6" t="str">
        <f aca="true" t="shared" si="84" ref="H198:H206">"大专"</f>
        <v>大专</v>
      </c>
      <c r="I198" s="8" t="s">
        <v>12</v>
      </c>
    </row>
    <row r="199" spans="1:9" ht="24" customHeight="1">
      <c r="A199" s="5">
        <v>197</v>
      </c>
      <c r="B199" s="6" t="s">
        <v>27</v>
      </c>
      <c r="C199" s="6" t="str">
        <f>"王一梅"</f>
        <v>王一梅</v>
      </c>
      <c r="D199" s="6" t="str">
        <f t="shared" si="81"/>
        <v>女</v>
      </c>
      <c r="E199" s="6" t="str">
        <f>"1995-01-21"</f>
        <v>1995-01-21</v>
      </c>
      <c r="F199" s="6" t="str">
        <f t="shared" si="83"/>
        <v>海南医学院</v>
      </c>
      <c r="G199" s="6" t="str">
        <f>"护理学"</f>
        <v>护理学</v>
      </c>
      <c r="H199" s="6" t="str">
        <f>"本科"</f>
        <v>本科</v>
      </c>
      <c r="I199" s="8" t="s">
        <v>12</v>
      </c>
    </row>
    <row r="200" spans="1:9" ht="24" customHeight="1">
      <c r="A200" s="5">
        <v>198</v>
      </c>
      <c r="B200" s="6" t="s">
        <v>27</v>
      </c>
      <c r="C200" s="6" t="str">
        <f>"王渝珊"</f>
        <v>王渝珊</v>
      </c>
      <c r="D200" s="6" t="str">
        <f t="shared" si="81"/>
        <v>女</v>
      </c>
      <c r="E200" s="6" t="str">
        <f>"1998-06-13"</f>
        <v>1998-06-13</v>
      </c>
      <c r="F200" s="6" t="str">
        <f t="shared" si="83"/>
        <v>海南医学院</v>
      </c>
      <c r="G200" s="6" t="str">
        <f aca="true" t="shared" si="85" ref="G200:G202">"护理"</f>
        <v>护理</v>
      </c>
      <c r="H200" s="6" t="str">
        <f t="shared" si="84"/>
        <v>大专</v>
      </c>
      <c r="I200" s="8" t="s">
        <v>12</v>
      </c>
    </row>
    <row r="201" spans="1:9" ht="24" customHeight="1">
      <c r="A201" s="5">
        <v>199</v>
      </c>
      <c r="B201" s="6" t="s">
        <v>27</v>
      </c>
      <c r="C201" s="6" t="str">
        <f>"张金亮"</f>
        <v>张金亮</v>
      </c>
      <c r="D201" s="6" t="str">
        <f>"男"</f>
        <v>男</v>
      </c>
      <c r="E201" s="6" t="str">
        <f>"1998-09-26"</f>
        <v>1998-09-26</v>
      </c>
      <c r="F201" s="6" t="str">
        <f>"青岛恒星科技学院"</f>
        <v>青岛恒星科技学院</v>
      </c>
      <c r="G201" s="6" t="str">
        <f t="shared" si="85"/>
        <v>护理</v>
      </c>
      <c r="H201" s="6" t="str">
        <f t="shared" si="84"/>
        <v>大专</v>
      </c>
      <c r="I201" s="8" t="s">
        <v>16</v>
      </c>
    </row>
    <row r="202" spans="1:9" ht="24" customHeight="1">
      <c r="A202" s="5">
        <v>200</v>
      </c>
      <c r="B202" s="6" t="s">
        <v>27</v>
      </c>
      <c r="C202" s="6" t="str">
        <f>"王菀榆"</f>
        <v>王菀榆</v>
      </c>
      <c r="D202" s="6" t="str">
        <f aca="true" t="shared" si="86" ref="D202:D265">"女"</f>
        <v>女</v>
      </c>
      <c r="E202" s="6" t="str">
        <f>"1999-02-15"</f>
        <v>1999-02-15</v>
      </c>
      <c r="F202" s="6" t="str">
        <f aca="true" t="shared" si="87" ref="F202:F207">"海南医学院"</f>
        <v>海南医学院</v>
      </c>
      <c r="G202" s="6" t="str">
        <f t="shared" si="85"/>
        <v>护理</v>
      </c>
      <c r="H202" s="6" t="str">
        <f t="shared" si="84"/>
        <v>大专</v>
      </c>
      <c r="I202" s="8" t="s">
        <v>16</v>
      </c>
    </row>
    <row r="203" spans="1:9" ht="24" customHeight="1">
      <c r="A203" s="5">
        <v>201</v>
      </c>
      <c r="B203" s="6" t="s">
        <v>27</v>
      </c>
      <c r="C203" s="6" t="str">
        <f>"冯少叶"</f>
        <v>冯少叶</v>
      </c>
      <c r="D203" s="6" t="str">
        <f t="shared" si="86"/>
        <v>女</v>
      </c>
      <c r="E203" s="6" t="str">
        <f>"1997-04-08"</f>
        <v>1997-04-08</v>
      </c>
      <c r="F203" s="6" t="str">
        <f>"山西医科大学汾阳学院"</f>
        <v>山西医科大学汾阳学院</v>
      </c>
      <c r="G203" s="6" t="str">
        <f>"护理专业"</f>
        <v>护理专业</v>
      </c>
      <c r="H203" s="6" t="str">
        <f t="shared" si="84"/>
        <v>大专</v>
      </c>
      <c r="I203" s="8" t="s">
        <v>12</v>
      </c>
    </row>
    <row r="204" spans="1:9" ht="24" customHeight="1">
      <c r="A204" s="5">
        <v>202</v>
      </c>
      <c r="B204" s="6" t="s">
        <v>27</v>
      </c>
      <c r="C204" s="6" t="str">
        <f>"洪靓"</f>
        <v>洪靓</v>
      </c>
      <c r="D204" s="6" t="str">
        <f t="shared" si="86"/>
        <v>女</v>
      </c>
      <c r="E204" s="6" t="str">
        <f>"1999-05-16"</f>
        <v>1999-05-16</v>
      </c>
      <c r="F204" s="6" t="str">
        <f>"长春医学高等专科学校"</f>
        <v>长春医学高等专科学校</v>
      </c>
      <c r="G204" s="6" t="str">
        <f>"护理系"</f>
        <v>护理系</v>
      </c>
      <c r="H204" s="6" t="str">
        <f t="shared" si="84"/>
        <v>大专</v>
      </c>
      <c r="I204" s="8" t="s">
        <v>16</v>
      </c>
    </row>
    <row r="205" spans="1:9" ht="24" customHeight="1">
      <c r="A205" s="5">
        <v>203</v>
      </c>
      <c r="B205" s="6" t="s">
        <v>27</v>
      </c>
      <c r="C205" s="6" t="str">
        <f>"郭少苗"</f>
        <v>郭少苗</v>
      </c>
      <c r="D205" s="6" t="str">
        <f t="shared" si="86"/>
        <v>女</v>
      </c>
      <c r="E205" s="6" t="str">
        <f>"1997-12-22"</f>
        <v>1997-12-22</v>
      </c>
      <c r="F205" s="6" t="str">
        <f t="shared" si="87"/>
        <v>海南医学院</v>
      </c>
      <c r="G205" s="6" t="str">
        <f>"护理专业"</f>
        <v>护理专业</v>
      </c>
      <c r="H205" s="6" t="str">
        <f t="shared" si="84"/>
        <v>大专</v>
      </c>
      <c r="I205" s="8" t="s">
        <v>12</v>
      </c>
    </row>
    <row r="206" spans="1:9" ht="24" customHeight="1">
      <c r="A206" s="5">
        <v>204</v>
      </c>
      <c r="B206" s="6" t="s">
        <v>27</v>
      </c>
      <c r="C206" s="6" t="str">
        <f>"杨妃"</f>
        <v>杨妃</v>
      </c>
      <c r="D206" s="6" t="str">
        <f t="shared" si="86"/>
        <v>女</v>
      </c>
      <c r="E206" s="6" t="str">
        <f>"1997-11-28"</f>
        <v>1997-11-28</v>
      </c>
      <c r="F206" s="6" t="str">
        <f>"长春医学高等专科学校"</f>
        <v>长春医学高等专科学校</v>
      </c>
      <c r="G206" s="6" t="str">
        <f aca="true" t="shared" si="88" ref="G206:G209">"护理"</f>
        <v>护理</v>
      </c>
      <c r="H206" s="6" t="str">
        <f t="shared" si="84"/>
        <v>大专</v>
      </c>
      <c r="I206" s="8" t="s">
        <v>16</v>
      </c>
    </row>
    <row r="207" spans="1:9" ht="24" customHeight="1">
      <c r="A207" s="5">
        <v>205</v>
      </c>
      <c r="B207" s="6" t="s">
        <v>27</v>
      </c>
      <c r="C207" s="6" t="str">
        <f>"何金香"</f>
        <v>何金香</v>
      </c>
      <c r="D207" s="6" t="str">
        <f t="shared" si="86"/>
        <v>女</v>
      </c>
      <c r="E207" s="6" t="str">
        <f>"1995-05-02"</f>
        <v>1995-05-02</v>
      </c>
      <c r="F207" s="6" t="str">
        <f t="shared" si="87"/>
        <v>海南医学院</v>
      </c>
      <c r="G207" s="6" t="str">
        <f t="shared" si="88"/>
        <v>护理</v>
      </c>
      <c r="H207" s="6" t="str">
        <f aca="true" t="shared" si="89" ref="H207:H210">"本科"</f>
        <v>本科</v>
      </c>
      <c r="I207" s="8" t="s">
        <v>12</v>
      </c>
    </row>
    <row r="208" spans="1:9" ht="24" customHeight="1">
      <c r="A208" s="5">
        <v>206</v>
      </c>
      <c r="B208" s="6" t="s">
        <v>27</v>
      </c>
      <c r="C208" s="6" t="str">
        <f>"何紫馨"</f>
        <v>何紫馨</v>
      </c>
      <c r="D208" s="6" t="str">
        <f t="shared" si="86"/>
        <v>女</v>
      </c>
      <c r="E208" s="6" t="str">
        <f>"1996-05-09"</f>
        <v>1996-05-09</v>
      </c>
      <c r="F208" s="6" t="str">
        <f>"三峡大学科技学院"</f>
        <v>三峡大学科技学院</v>
      </c>
      <c r="G208" s="6" t="str">
        <f>"护理学"</f>
        <v>护理学</v>
      </c>
      <c r="H208" s="6" t="str">
        <f t="shared" si="89"/>
        <v>本科</v>
      </c>
      <c r="I208" s="8" t="s">
        <v>16</v>
      </c>
    </row>
    <row r="209" spans="1:9" ht="24" customHeight="1">
      <c r="A209" s="5">
        <v>207</v>
      </c>
      <c r="B209" s="6" t="s">
        <v>27</v>
      </c>
      <c r="C209" s="6" t="str">
        <f>"李娇"</f>
        <v>李娇</v>
      </c>
      <c r="D209" s="6" t="str">
        <f t="shared" si="86"/>
        <v>女</v>
      </c>
      <c r="E209" s="6" t="str">
        <f>"1999-02-23"</f>
        <v>1999-02-23</v>
      </c>
      <c r="F209" s="6" t="str">
        <f aca="true" t="shared" si="90" ref="F209:F214">"海南医学院"</f>
        <v>海南医学院</v>
      </c>
      <c r="G209" s="6" t="str">
        <f t="shared" si="88"/>
        <v>护理</v>
      </c>
      <c r="H209" s="6" t="str">
        <f aca="true" t="shared" si="91" ref="H209:H212">"大专"</f>
        <v>大专</v>
      </c>
      <c r="I209" s="8" t="s">
        <v>12</v>
      </c>
    </row>
    <row r="210" spans="1:9" ht="24" customHeight="1">
      <c r="A210" s="5">
        <v>208</v>
      </c>
      <c r="B210" s="6" t="s">
        <v>27</v>
      </c>
      <c r="C210" s="6" t="str">
        <f>"张家维"</f>
        <v>张家维</v>
      </c>
      <c r="D210" s="6" t="str">
        <f t="shared" si="86"/>
        <v>女</v>
      </c>
      <c r="E210" s="6" t="str">
        <f>"1994-05-08"</f>
        <v>1994-05-08</v>
      </c>
      <c r="F210" s="6" t="str">
        <f>"佳木斯大学"</f>
        <v>佳木斯大学</v>
      </c>
      <c r="G210" s="6" t="str">
        <f>"护理学"</f>
        <v>护理学</v>
      </c>
      <c r="H210" s="6" t="str">
        <f t="shared" si="89"/>
        <v>本科</v>
      </c>
      <c r="I210" s="8" t="s">
        <v>12</v>
      </c>
    </row>
    <row r="211" spans="1:9" ht="24" customHeight="1">
      <c r="A211" s="5">
        <v>209</v>
      </c>
      <c r="B211" s="6" t="s">
        <v>27</v>
      </c>
      <c r="C211" s="6" t="str">
        <f>"唐诗琳"</f>
        <v>唐诗琳</v>
      </c>
      <c r="D211" s="6" t="str">
        <f t="shared" si="86"/>
        <v>女</v>
      </c>
      <c r="E211" s="6" t="str">
        <f>"1995-05-13"</f>
        <v>1995-05-13</v>
      </c>
      <c r="F211" s="6" t="str">
        <f t="shared" si="90"/>
        <v>海南医学院</v>
      </c>
      <c r="G211" s="6" t="str">
        <f aca="true" t="shared" si="92" ref="G211:G213">"护理"</f>
        <v>护理</v>
      </c>
      <c r="H211" s="6" t="str">
        <f t="shared" si="91"/>
        <v>大专</v>
      </c>
      <c r="I211" s="8" t="s">
        <v>12</v>
      </c>
    </row>
    <row r="212" spans="1:9" ht="24" customHeight="1">
      <c r="A212" s="5">
        <v>210</v>
      </c>
      <c r="B212" s="6" t="s">
        <v>27</v>
      </c>
      <c r="C212" s="6" t="str">
        <f>"陈雪芳"</f>
        <v>陈雪芳</v>
      </c>
      <c r="D212" s="6" t="str">
        <f t="shared" si="86"/>
        <v>女</v>
      </c>
      <c r="E212" s="6" t="str">
        <f>"1996-10-08"</f>
        <v>1996-10-08</v>
      </c>
      <c r="F212" s="6" t="str">
        <f>"湖北荆州职业技术学院"</f>
        <v>湖北荆州职业技术学院</v>
      </c>
      <c r="G212" s="6" t="str">
        <f t="shared" si="92"/>
        <v>护理</v>
      </c>
      <c r="H212" s="6" t="str">
        <f t="shared" si="91"/>
        <v>大专</v>
      </c>
      <c r="I212" s="8" t="s">
        <v>12</v>
      </c>
    </row>
    <row r="213" spans="1:9" ht="24" customHeight="1">
      <c r="A213" s="5">
        <v>211</v>
      </c>
      <c r="B213" s="6" t="s">
        <v>27</v>
      </c>
      <c r="C213" s="6" t="str">
        <f>"黄金玉"</f>
        <v>黄金玉</v>
      </c>
      <c r="D213" s="6" t="str">
        <f t="shared" si="86"/>
        <v>女</v>
      </c>
      <c r="E213" s="6" t="str">
        <f>"1996-06-16"</f>
        <v>1996-06-16</v>
      </c>
      <c r="F213" s="6" t="str">
        <f>"南昌大学"</f>
        <v>南昌大学</v>
      </c>
      <c r="G213" s="6" t="str">
        <f t="shared" si="92"/>
        <v>护理</v>
      </c>
      <c r="H213" s="6" t="str">
        <f aca="true" t="shared" si="93" ref="H213:H215">"本科"</f>
        <v>本科</v>
      </c>
      <c r="I213" s="8" t="s">
        <v>12</v>
      </c>
    </row>
    <row r="214" spans="1:9" ht="24" customHeight="1">
      <c r="A214" s="5">
        <v>212</v>
      </c>
      <c r="B214" s="6" t="s">
        <v>27</v>
      </c>
      <c r="C214" s="6" t="str">
        <f>" 陈芳"</f>
        <v> 陈芳</v>
      </c>
      <c r="D214" s="6" t="str">
        <f t="shared" si="86"/>
        <v>女</v>
      </c>
      <c r="E214" s="6" t="str">
        <f>"1993-05-10"</f>
        <v>1993-05-10</v>
      </c>
      <c r="F214" s="6" t="str">
        <f t="shared" si="90"/>
        <v>海南医学院</v>
      </c>
      <c r="G214" s="6" t="str">
        <f aca="true" t="shared" si="94" ref="G214:G218">"护理学"</f>
        <v>护理学</v>
      </c>
      <c r="H214" s="6" t="str">
        <f t="shared" si="93"/>
        <v>本科</v>
      </c>
      <c r="I214" s="8" t="s">
        <v>12</v>
      </c>
    </row>
    <row r="215" spans="1:9" ht="24" customHeight="1">
      <c r="A215" s="5">
        <v>213</v>
      </c>
      <c r="B215" s="6" t="s">
        <v>27</v>
      </c>
      <c r="C215" s="6" t="str">
        <f>"钟文彩"</f>
        <v>钟文彩</v>
      </c>
      <c r="D215" s="6" t="str">
        <f t="shared" si="86"/>
        <v>女</v>
      </c>
      <c r="E215" s="6" t="str">
        <f>"1997-01-10"</f>
        <v>1997-01-10</v>
      </c>
      <c r="F215" s="6" t="str">
        <f>"山西中医药大学"</f>
        <v>山西中医药大学</v>
      </c>
      <c r="G215" s="6" t="str">
        <f>"护理学（涉外护理方向）"</f>
        <v>护理学（涉外护理方向）</v>
      </c>
      <c r="H215" s="6" t="str">
        <f t="shared" si="93"/>
        <v>本科</v>
      </c>
      <c r="I215" s="8" t="s">
        <v>16</v>
      </c>
    </row>
    <row r="216" spans="1:9" ht="24" customHeight="1">
      <c r="A216" s="5">
        <v>214</v>
      </c>
      <c r="B216" s="6" t="s">
        <v>27</v>
      </c>
      <c r="C216" s="6" t="str">
        <f>"王定娇"</f>
        <v>王定娇</v>
      </c>
      <c r="D216" s="6" t="str">
        <f t="shared" si="86"/>
        <v>女</v>
      </c>
      <c r="E216" s="6" t="str">
        <f>"2000-02-27"</f>
        <v>2000-02-27</v>
      </c>
      <c r="F216" s="6" t="str">
        <f>"海南医学院"</f>
        <v>海南医学院</v>
      </c>
      <c r="G216" s="6" t="str">
        <f t="shared" si="94"/>
        <v>护理学</v>
      </c>
      <c r="H216" s="6" t="str">
        <f aca="true" t="shared" si="95" ref="H216:H221">"大专"</f>
        <v>大专</v>
      </c>
      <c r="I216" s="8" t="s">
        <v>12</v>
      </c>
    </row>
    <row r="217" spans="1:9" ht="24" customHeight="1">
      <c r="A217" s="5">
        <v>215</v>
      </c>
      <c r="B217" s="6" t="s">
        <v>27</v>
      </c>
      <c r="C217" s="6" t="str">
        <f>"吴清荣"</f>
        <v>吴清荣</v>
      </c>
      <c r="D217" s="6" t="str">
        <f t="shared" si="86"/>
        <v>女</v>
      </c>
      <c r="E217" s="6" t="str">
        <f>"1998-09-25"</f>
        <v>1998-09-25</v>
      </c>
      <c r="F217" s="6" t="str">
        <f>"海南科技职业大写"</f>
        <v>海南科技职业大写</v>
      </c>
      <c r="G217" s="6" t="str">
        <f aca="true" t="shared" si="96" ref="G217:G221">"护理"</f>
        <v>护理</v>
      </c>
      <c r="H217" s="6" t="str">
        <f t="shared" si="95"/>
        <v>大专</v>
      </c>
      <c r="I217" s="8" t="s">
        <v>16</v>
      </c>
    </row>
    <row r="218" spans="1:9" ht="24" customHeight="1">
      <c r="A218" s="5">
        <v>216</v>
      </c>
      <c r="B218" s="6" t="s">
        <v>27</v>
      </c>
      <c r="C218" s="6" t="str">
        <f>"文秀珍"</f>
        <v>文秀珍</v>
      </c>
      <c r="D218" s="6" t="str">
        <f t="shared" si="86"/>
        <v>女</v>
      </c>
      <c r="E218" s="6" t="str">
        <f>"1997-04-16"</f>
        <v>1997-04-16</v>
      </c>
      <c r="F218" s="6" t="str">
        <f>"长江大学文理学院"</f>
        <v>长江大学文理学院</v>
      </c>
      <c r="G218" s="6" t="str">
        <f t="shared" si="94"/>
        <v>护理学</v>
      </c>
      <c r="H218" s="6" t="str">
        <f>"本科"</f>
        <v>本科</v>
      </c>
      <c r="I218" s="8" t="s">
        <v>16</v>
      </c>
    </row>
    <row r="219" spans="1:9" ht="24" customHeight="1">
      <c r="A219" s="5">
        <v>217</v>
      </c>
      <c r="B219" s="6" t="s">
        <v>27</v>
      </c>
      <c r="C219" s="6" t="str">
        <f>"徐慧媛"</f>
        <v>徐慧媛</v>
      </c>
      <c r="D219" s="6" t="str">
        <f t="shared" si="86"/>
        <v>女</v>
      </c>
      <c r="E219" s="6" t="str">
        <f>"1996-12-06"</f>
        <v>1996-12-06</v>
      </c>
      <c r="F219" s="6" t="str">
        <f>"镇江市高等专科学校"</f>
        <v>镇江市高等专科学校</v>
      </c>
      <c r="G219" s="6" t="str">
        <f t="shared" si="96"/>
        <v>护理</v>
      </c>
      <c r="H219" s="6" t="str">
        <f t="shared" si="95"/>
        <v>大专</v>
      </c>
      <c r="I219" s="8" t="s">
        <v>16</v>
      </c>
    </row>
    <row r="220" spans="1:9" ht="24" customHeight="1">
      <c r="A220" s="5">
        <v>218</v>
      </c>
      <c r="B220" s="6" t="s">
        <v>27</v>
      </c>
      <c r="C220" s="6" t="str">
        <f>"方卉"</f>
        <v>方卉</v>
      </c>
      <c r="D220" s="6" t="str">
        <f t="shared" si="86"/>
        <v>女</v>
      </c>
      <c r="E220" s="6" t="str">
        <f>"1995-10-03"</f>
        <v>1995-10-03</v>
      </c>
      <c r="F220" s="6" t="str">
        <f>"淮南联合大学"</f>
        <v>淮南联合大学</v>
      </c>
      <c r="G220" s="6" t="str">
        <f aca="true" t="shared" si="97" ref="G220:G224">"护理学"</f>
        <v>护理学</v>
      </c>
      <c r="H220" s="6" t="str">
        <f t="shared" si="95"/>
        <v>大专</v>
      </c>
      <c r="I220" s="8" t="s">
        <v>12</v>
      </c>
    </row>
    <row r="221" spans="1:9" ht="24" customHeight="1">
      <c r="A221" s="5">
        <v>219</v>
      </c>
      <c r="B221" s="6" t="s">
        <v>27</v>
      </c>
      <c r="C221" s="6" t="str">
        <f>"符转"</f>
        <v>符转</v>
      </c>
      <c r="D221" s="6" t="str">
        <f t="shared" si="86"/>
        <v>女</v>
      </c>
      <c r="E221" s="6" t="str">
        <f>"1996-02-28"</f>
        <v>1996-02-28</v>
      </c>
      <c r="F221" s="6" t="str">
        <f aca="true" t="shared" si="98" ref="F221:F226">"海南医学院"</f>
        <v>海南医学院</v>
      </c>
      <c r="G221" s="6" t="str">
        <f t="shared" si="96"/>
        <v>护理</v>
      </c>
      <c r="H221" s="6" t="str">
        <f t="shared" si="95"/>
        <v>大专</v>
      </c>
      <c r="I221" s="8" t="s">
        <v>12</v>
      </c>
    </row>
    <row r="222" spans="1:9" ht="24" customHeight="1">
      <c r="A222" s="5">
        <v>220</v>
      </c>
      <c r="B222" s="6" t="s">
        <v>27</v>
      </c>
      <c r="C222" s="6" t="str">
        <f>"阮玲"</f>
        <v>阮玲</v>
      </c>
      <c r="D222" s="6" t="str">
        <f t="shared" si="86"/>
        <v>女</v>
      </c>
      <c r="E222" s="6" t="str">
        <f>"1995-06-06"</f>
        <v>1995-06-06</v>
      </c>
      <c r="F222" s="6" t="str">
        <f>"湖南中医药大学"</f>
        <v>湖南中医药大学</v>
      </c>
      <c r="G222" s="6" t="str">
        <f t="shared" si="97"/>
        <v>护理学</v>
      </c>
      <c r="H222" s="6" t="str">
        <f>"本科"</f>
        <v>本科</v>
      </c>
      <c r="I222" s="8" t="s">
        <v>16</v>
      </c>
    </row>
    <row r="223" spans="1:9" ht="24" customHeight="1">
      <c r="A223" s="5">
        <v>221</v>
      </c>
      <c r="B223" s="6" t="s">
        <v>27</v>
      </c>
      <c r="C223" s="6" t="str">
        <f>"李琳"</f>
        <v>李琳</v>
      </c>
      <c r="D223" s="6" t="str">
        <f t="shared" si="86"/>
        <v>女</v>
      </c>
      <c r="E223" s="6" t="str">
        <f>"1998-03-29"</f>
        <v>1998-03-29</v>
      </c>
      <c r="F223" s="6" t="str">
        <f t="shared" si="98"/>
        <v>海南医学院</v>
      </c>
      <c r="G223" s="6" t="str">
        <f t="shared" si="97"/>
        <v>护理学</v>
      </c>
      <c r="H223" s="6" t="str">
        <f aca="true" t="shared" si="99" ref="H223:H228">"大专"</f>
        <v>大专</v>
      </c>
      <c r="I223" s="8" t="s">
        <v>12</v>
      </c>
    </row>
    <row r="224" spans="1:9" ht="24" customHeight="1">
      <c r="A224" s="5">
        <v>222</v>
      </c>
      <c r="B224" s="6" t="s">
        <v>27</v>
      </c>
      <c r="C224" s="6" t="str">
        <f>"吴向红"</f>
        <v>吴向红</v>
      </c>
      <c r="D224" s="6" t="str">
        <f t="shared" si="86"/>
        <v>女</v>
      </c>
      <c r="E224" s="6" t="str">
        <f>"1993-01-24"</f>
        <v>1993-01-24</v>
      </c>
      <c r="F224" s="6" t="str">
        <f>"承德医学院"</f>
        <v>承德医学院</v>
      </c>
      <c r="G224" s="6" t="str">
        <f t="shared" si="97"/>
        <v>护理学</v>
      </c>
      <c r="H224" s="6" t="str">
        <f>"本科"</f>
        <v>本科</v>
      </c>
      <c r="I224" s="8" t="s">
        <v>12</v>
      </c>
    </row>
    <row r="225" spans="1:9" ht="24" customHeight="1">
      <c r="A225" s="5">
        <v>223</v>
      </c>
      <c r="B225" s="6" t="s">
        <v>27</v>
      </c>
      <c r="C225" s="6" t="str">
        <f>"陈芳芳"</f>
        <v>陈芳芳</v>
      </c>
      <c r="D225" s="6" t="str">
        <f t="shared" si="86"/>
        <v>女</v>
      </c>
      <c r="E225" s="6" t="str">
        <f>"1995-02-24"</f>
        <v>1995-02-24</v>
      </c>
      <c r="F225" s="6" t="str">
        <f t="shared" si="98"/>
        <v>海南医学院</v>
      </c>
      <c r="G225" s="6" t="str">
        <f aca="true" t="shared" si="100" ref="G225:G227">"护理"</f>
        <v>护理</v>
      </c>
      <c r="H225" s="6" t="str">
        <f t="shared" si="99"/>
        <v>大专</v>
      </c>
      <c r="I225" s="8" t="s">
        <v>12</v>
      </c>
    </row>
    <row r="226" spans="1:9" ht="24" customHeight="1">
      <c r="A226" s="5">
        <v>224</v>
      </c>
      <c r="B226" s="6" t="s">
        <v>27</v>
      </c>
      <c r="C226" s="6" t="str">
        <f>"陈小妮"</f>
        <v>陈小妮</v>
      </c>
      <c r="D226" s="6" t="str">
        <f t="shared" si="86"/>
        <v>女</v>
      </c>
      <c r="E226" s="6" t="str">
        <f>"1994-11-26"</f>
        <v>1994-11-26</v>
      </c>
      <c r="F226" s="6" t="str">
        <f t="shared" si="98"/>
        <v>海南医学院</v>
      </c>
      <c r="G226" s="6" t="str">
        <f t="shared" si="100"/>
        <v>护理</v>
      </c>
      <c r="H226" s="6" t="str">
        <f t="shared" si="99"/>
        <v>大专</v>
      </c>
      <c r="I226" s="8" t="s">
        <v>12</v>
      </c>
    </row>
    <row r="227" spans="1:9" ht="24" customHeight="1">
      <c r="A227" s="5">
        <v>225</v>
      </c>
      <c r="B227" s="6" t="s">
        <v>27</v>
      </c>
      <c r="C227" s="6" t="str">
        <f>"卢当当"</f>
        <v>卢当当</v>
      </c>
      <c r="D227" s="6" t="str">
        <f t="shared" si="86"/>
        <v>女</v>
      </c>
      <c r="E227" s="6" t="str">
        <f>"1999-11-07"</f>
        <v>1999-11-07</v>
      </c>
      <c r="F227" s="6" t="str">
        <f>"上海立达学院"</f>
        <v>上海立达学院</v>
      </c>
      <c r="G227" s="6" t="str">
        <f t="shared" si="100"/>
        <v>护理</v>
      </c>
      <c r="H227" s="6" t="str">
        <f t="shared" si="99"/>
        <v>大专</v>
      </c>
      <c r="I227" s="8" t="s">
        <v>16</v>
      </c>
    </row>
    <row r="228" spans="1:9" ht="24" customHeight="1">
      <c r="A228" s="5">
        <v>226</v>
      </c>
      <c r="B228" s="6" t="s">
        <v>27</v>
      </c>
      <c r="C228" s="6" t="str">
        <f>"吴晓敏"</f>
        <v>吴晓敏</v>
      </c>
      <c r="D228" s="6" t="str">
        <f t="shared" si="86"/>
        <v>女</v>
      </c>
      <c r="E228" s="6" t="str">
        <f>"2000-09-09"</f>
        <v>2000-09-09</v>
      </c>
      <c r="F228" s="6" t="str">
        <f aca="true" t="shared" si="101" ref="F228:F232">"海南医学院"</f>
        <v>海南医学院</v>
      </c>
      <c r="G228" s="6" t="str">
        <f aca="true" t="shared" si="102" ref="G228:G230">"护理学"</f>
        <v>护理学</v>
      </c>
      <c r="H228" s="6" t="str">
        <f t="shared" si="99"/>
        <v>大专</v>
      </c>
      <c r="I228" s="8" t="s">
        <v>12</v>
      </c>
    </row>
    <row r="229" spans="1:9" ht="24" customHeight="1">
      <c r="A229" s="5">
        <v>227</v>
      </c>
      <c r="B229" s="6" t="s">
        <v>27</v>
      </c>
      <c r="C229" s="6" t="str">
        <f>"陈巧娥"</f>
        <v>陈巧娥</v>
      </c>
      <c r="D229" s="6" t="str">
        <f t="shared" si="86"/>
        <v>女</v>
      </c>
      <c r="E229" s="6" t="str">
        <f>"1996-02-11"</f>
        <v>1996-02-11</v>
      </c>
      <c r="F229" s="6" t="str">
        <f>"西安翻译学院"</f>
        <v>西安翻译学院</v>
      </c>
      <c r="G229" s="6" t="str">
        <f t="shared" si="102"/>
        <v>护理学</v>
      </c>
      <c r="H229" s="6" t="str">
        <f>"本科"</f>
        <v>本科</v>
      </c>
      <c r="I229" s="8" t="s">
        <v>16</v>
      </c>
    </row>
    <row r="230" spans="1:9" ht="24" customHeight="1">
      <c r="A230" s="5">
        <v>228</v>
      </c>
      <c r="B230" s="6" t="s">
        <v>27</v>
      </c>
      <c r="C230" s="6" t="str">
        <f>"郑俊谦"</f>
        <v>郑俊谦</v>
      </c>
      <c r="D230" s="6" t="str">
        <f t="shared" si="86"/>
        <v>女</v>
      </c>
      <c r="E230" s="6" t="str">
        <f>"1996-06-25"</f>
        <v>1996-06-25</v>
      </c>
      <c r="F230" s="6" t="str">
        <f>"延边大学"</f>
        <v>延边大学</v>
      </c>
      <c r="G230" s="6" t="str">
        <f t="shared" si="102"/>
        <v>护理学</v>
      </c>
      <c r="H230" s="6" t="str">
        <f aca="true" t="shared" si="103" ref="H230:H235">"大专"</f>
        <v>大专</v>
      </c>
      <c r="I230" s="8" t="s">
        <v>12</v>
      </c>
    </row>
    <row r="231" spans="1:9" ht="24" customHeight="1">
      <c r="A231" s="5">
        <v>229</v>
      </c>
      <c r="B231" s="6" t="s">
        <v>27</v>
      </c>
      <c r="C231" s="6" t="str">
        <f>"彭妮"</f>
        <v>彭妮</v>
      </c>
      <c r="D231" s="6" t="str">
        <f t="shared" si="86"/>
        <v>女</v>
      </c>
      <c r="E231" s="6" t="str">
        <f>"1998-09-06"</f>
        <v>1998-09-06</v>
      </c>
      <c r="F231" s="6" t="str">
        <f t="shared" si="101"/>
        <v>海南医学院</v>
      </c>
      <c r="G231" s="6" t="str">
        <f aca="true" t="shared" si="104" ref="G231:G234">"护理"</f>
        <v>护理</v>
      </c>
      <c r="H231" s="6" t="str">
        <f t="shared" si="103"/>
        <v>大专</v>
      </c>
      <c r="I231" s="8" t="s">
        <v>12</v>
      </c>
    </row>
    <row r="232" spans="1:9" ht="24" customHeight="1">
      <c r="A232" s="5">
        <v>230</v>
      </c>
      <c r="B232" s="6" t="s">
        <v>27</v>
      </c>
      <c r="C232" s="6" t="str">
        <f>"朱丽慧"</f>
        <v>朱丽慧</v>
      </c>
      <c r="D232" s="6" t="str">
        <f t="shared" si="86"/>
        <v>女</v>
      </c>
      <c r="E232" s="6" t="str">
        <f>"1998-05-09"</f>
        <v>1998-05-09</v>
      </c>
      <c r="F232" s="6" t="str">
        <f t="shared" si="101"/>
        <v>海南医学院</v>
      </c>
      <c r="G232" s="6" t="str">
        <f>"护理学"</f>
        <v>护理学</v>
      </c>
      <c r="H232" s="6" t="str">
        <f t="shared" si="103"/>
        <v>大专</v>
      </c>
      <c r="I232" s="8" t="s">
        <v>12</v>
      </c>
    </row>
    <row r="233" spans="1:9" ht="24" customHeight="1">
      <c r="A233" s="5">
        <v>231</v>
      </c>
      <c r="B233" s="6" t="s">
        <v>27</v>
      </c>
      <c r="C233" s="6" t="str">
        <f>"陈菁晶"</f>
        <v>陈菁晶</v>
      </c>
      <c r="D233" s="6" t="str">
        <f t="shared" si="86"/>
        <v>女</v>
      </c>
      <c r="E233" s="6" t="str">
        <f>"1999-11-18"</f>
        <v>1999-11-18</v>
      </c>
      <c r="F233" s="6" t="str">
        <f>"海南科技职业大学"</f>
        <v>海南科技职业大学</v>
      </c>
      <c r="G233" s="6" t="str">
        <f t="shared" si="104"/>
        <v>护理</v>
      </c>
      <c r="H233" s="6" t="str">
        <f t="shared" si="103"/>
        <v>大专</v>
      </c>
      <c r="I233" s="8" t="s">
        <v>16</v>
      </c>
    </row>
    <row r="234" spans="1:9" ht="24" customHeight="1">
      <c r="A234" s="5">
        <v>232</v>
      </c>
      <c r="B234" s="6" t="s">
        <v>27</v>
      </c>
      <c r="C234" s="6" t="str">
        <f>"钟赛妹"</f>
        <v>钟赛妹</v>
      </c>
      <c r="D234" s="6" t="str">
        <f t="shared" si="86"/>
        <v>女</v>
      </c>
      <c r="E234" s="6" t="str">
        <f>"1995-11-14"</f>
        <v>1995-11-14</v>
      </c>
      <c r="F234" s="6" t="str">
        <f>"湖南邵阳学院"</f>
        <v>湖南邵阳学院</v>
      </c>
      <c r="G234" s="6" t="str">
        <f t="shared" si="104"/>
        <v>护理</v>
      </c>
      <c r="H234" s="6" t="str">
        <f t="shared" si="103"/>
        <v>大专</v>
      </c>
      <c r="I234" s="8" t="s">
        <v>12</v>
      </c>
    </row>
    <row r="235" spans="1:9" ht="24" customHeight="1">
      <c r="A235" s="5">
        <v>233</v>
      </c>
      <c r="B235" s="6" t="s">
        <v>27</v>
      </c>
      <c r="C235" s="6" t="str">
        <f>"潘晓菲"</f>
        <v>潘晓菲</v>
      </c>
      <c r="D235" s="6" t="str">
        <f t="shared" si="86"/>
        <v>女</v>
      </c>
      <c r="E235" s="6" t="str">
        <f>"1998-01-09"</f>
        <v>1998-01-09</v>
      </c>
      <c r="F235" s="6" t="str">
        <f>"海南医学院"</f>
        <v>海南医学院</v>
      </c>
      <c r="G235" s="6" t="str">
        <f>"护理专业"</f>
        <v>护理专业</v>
      </c>
      <c r="H235" s="6" t="str">
        <f t="shared" si="103"/>
        <v>大专</v>
      </c>
      <c r="I235" s="8" t="s">
        <v>12</v>
      </c>
    </row>
    <row r="236" spans="1:9" ht="24" customHeight="1">
      <c r="A236" s="5">
        <v>234</v>
      </c>
      <c r="B236" s="6" t="s">
        <v>27</v>
      </c>
      <c r="C236" s="6" t="str">
        <f>"黄日琬"</f>
        <v>黄日琬</v>
      </c>
      <c r="D236" s="6" t="str">
        <f t="shared" si="86"/>
        <v>女</v>
      </c>
      <c r="E236" s="6" t="str">
        <f>"1996-11-06"</f>
        <v>1996-11-06</v>
      </c>
      <c r="F236" s="6" t="str">
        <f>"西安医学院"</f>
        <v>西安医学院</v>
      </c>
      <c r="G236" s="6" t="str">
        <f aca="true" t="shared" si="105" ref="G236:G242">"护理学"</f>
        <v>护理学</v>
      </c>
      <c r="H236" s="6" t="str">
        <f>"本科"</f>
        <v>本科</v>
      </c>
      <c r="I236" s="8" t="s">
        <v>16</v>
      </c>
    </row>
    <row r="237" spans="1:9" ht="24" customHeight="1">
      <c r="A237" s="5">
        <v>235</v>
      </c>
      <c r="B237" s="6" t="s">
        <v>27</v>
      </c>
      <c r="C237" s="6" t="str">
        <f>"张小程"</f>
        <v>张小程</v>
      </c>
      <c r="D237" s="6" t="str">
        <f t="shared" si="86"/>
        <v>女</v>
      </c>
      <c r="E237" s="6" t="str">
        <f>"1994-06-14"</f>
        <v>1994-06-14</v>
      </c>
      <c r="F237" s="6" t="str">
        <f aca="true" t="shared" si="106" ref="F237:F245">"海南医学院"</f>
        <v>海南医学院</v>
      </c>
      <c r="G237" s="6" t="str">
        <f aca="true" t="shared" si="107" ref="G237:G239">"护理"</f>
        <v>护理</v>
      </c>
      <c r="H237" s="6" t="str">
        <f aca="true" t="shared" si="108" ref="H237:H239">"大专"</f>
        <v>大专</v>
      </c>
      <c r="I237" s="8" t="s">
        <v>12</v>
      </c>
    </row>
    <row r="238" spans="1:9" ht="24" customHeight="1">
      <c r="A238" s="5">
        <v>236</v>
      </c>
      <c r="B238" s="6" t="s">
        <v>27</v>
      </c>
      <c r="C238" s="6" t="str">
        <f>"黄念"</f>
        <v>黄念</v>
      </c>
      <c r="D238" s="6" t="str">
        <f t="shared" si="86"/>
        <v>女</v>
      </c>
      <c r="E238" s="6" t="str">
        <f>"1992-10-02"</f>
        <v>1992-10-02</v>
      </c>
      <c r="F238" s="6" t="str">
        <f>"河北省邢台医学高等专科学校"</f>
        <v>河北省邢台医学高等专科学校</v>
      </c>
      <c r="G238" s="6" t="str">
        <f t="shared" si="107"/>
        <v>护理</v>
      </c>
      <c r="H238" s="6" t="str">
        <f t="shared" si="108"/>
        <v>大专</v>
      </c>
      <c r="I238" s="8" t="s">
        <v>12</v>
      </c>
    </row>
    <row r="239" spans="1:9" ht="24" customHeight="1">
      <c r="A239" s="5">
        <v>237</v>
      </c>
      <c r="B239" s="6" t="s">
        <v>27</v>
      </c>
      <c r="C239" s="6" t="str">
        <f>"王文文"</f>
        <v>王文文</v>
      </c>
      <c r="D239" s="6" t="str">
        <f t="shared" si="86"/>
        <v>女</v>
      </c>
      <c r="E239" s="6" t="str">
        <f>"1996-12-16"</f>
        <v>1996-12-16</v>
      </c>
      <c r="F239" s="6" t="str">
        <f>"海南科技职业大学"</f>
        <v>海南科技职业大学</v>
      </c>
      <c r="G239" s="6" t="str">
        <f t="shared" si="107"/>
        <v>护理</v>
      </c>
      <c r="H239" s="6" t="str">
        <f t="shared" si="108"/>
        <v>大专</v>
      </c>
      <c r="I239" s="8" t="s">
        <v>12</v>
      </c>
    </row>
    <row r="240" spans="1:9" ht="24" customHeight="1">
      <c r="A240" s="5">
        <v>238</v>
      </c>
      <c r="B240" s="6" t="s">
        <v>27</v>
      </c>
      <c r="C240" s="6" t="str">
        <f>"曾秀华"</f>
        <v>曾秀华</v>
      </c>
      <c r="D240" s="6" t="str">
        <f t="shared" si="86"/>
        <v>女</v>
      </c>
      <c r="E240" s="6" t="str">
        <f>"1996-03-21"</f>
        <v>1996-03-21</v>
      </c>
      <c r="F240" s="6" t="str">
        <f>"郑州工业应用技术学院"</f>
        <v>郑州工业应用技术学院</v>
      </c>
      <c r="G240" s="6" t="str">
        <f t="shared" si="105"/>
        <v>护理学</v>
      </c>
      <c r="H240" s="6" t="str">
        <f>"本科"</f>
        <v>本科</v>
      </c>
      <c r="I240" s="8" t="s">
        <v>16</v>
      </c>
    </row>
    <row r="241" spans="1:9" ht="24" customHeight="1">
      <c r="A241" s="5">
        <v>239</v>
      </c>
      <c r="B241" s="6" t="s">
        <v>27</v>
      </c>
      <c r="C241" s="6" t="str">
        <f>"杨柳香"</f>
        <v>杨柳香</v>
      </c>
      <c r="D241" s="6" t="str">
        <f t="shared" si="86"/>
        <v>女</v>
      </c>
      <c r="E241" s="6" t="str">
        <f>"1994-06-09"</f>
        <v>1994-06-09</v>
      </c>
      <c r="F241" s="6" t="str">
        <f t="shared" si="106"/>
        <v>海南医学院</v>
      </c>
      <c r="G241" s="6" t="str">
        <f t="shared" si="105"/>
        <v>护理学</v>
      </c>
      <c r="H241" s="6" t="str">
        <f aca="true" t="shared" si="109" ref="H241:H248">"大专"</f>
        <v>大专</v>
      </c>
      <c r="I241" s="8" t="s">
        <v>12</v>
      </c>
    </row>
    <row r="242" spans="1:9" ht="24" customHeight="1">
      <c r="A242" s="5">
        <v>240</v>
      </c>
      <c r="B242" s="6" t="s">
        <v>27</v>
      </c>
      <c r="C242" s="6" t="str">
        <f>"陈莎莎"</f>
        <v>陈莎莎</v>
      </c>
      <c r="D242" s="6" t="str">
        <f t="shared" si="86"/>
        <v>女</v>
      </c>
      <c r="E242" s="6" t="str">
        <f>"1996-05-29"</f>
        <v>1996-05-29</v>
      </c>
      <c r="F242" s="6" t="str">
        <f t="shared" si="106"/>
        <v>海南医学院</v>
      </c>
      <c r="G242" s="6" t="str">
        <f t="shared" si="105"/>
        <v>护理学</v>
      </c>
      <c r="H242" s="6" t="str">
        <f>"本科"</f>
        <v>本科</v>
      </c>
      <c r="I242" s="8" t="s">
        <v>12</v>
      </c>
    </row>
    <row r="243" spans="1:9" ht="24" customHeight="1">
      <c r="A243" s="5">
        <v>241</v>
      </c>
      <c r="B243" s="6" t="s">
        <v>27</v>
      </c>
      <c r="C243" s="6" t="str">
        <f>"黎旸"</f>
        <v>黎旸</v>
      </c>
      <c r="D243" s="6" t="str">
        <f t="shared" si="86"/>
        <v>女</v>
      </c>
      <c r="E243" s="6" t="str">
        <f>"1994-11-23"</f>
        <v>1994-11-23</v>
      </c>
      <c r="F243" s="6" t="str">
        <f t="shared" si="106"/>
        <v>海南医学院</v>
      </c>
      <c r="G243" s="6" t="str">
        <f>"护理专业"</f>
        <v>护理专业</v>
      </c>
      <c r="H243" s="6" t="str">
        <f t="shared" si="109"/>
        <v>大专</v>
      </c>
      <c r="I243" s="8" t="s">
        <v>12</v>
      </c>
    </row>
    <row r="244" spans="1:9" ht="24" customHeight="1">
      <c r="A244" s="5">
        <v>242</v>
      </c>
      <c r="B244" s="6" t="s">
        <v>27</v>
      </c>
      <c r="C244" s="6" t="str">
        <f>"陈清芬"</f>
        <v>陈清芬</v>
      </c>
      <c r="D244" s="6" t="str">
        <f t="shared" si="86"/>
        <v>女</v>
      </c>
      <c r="E244" s="6" t="str">
        <f>"1995-12-04"</f>
        <v>1995-12-04</v>
      </c>
      <c r="F244" s="6" t="str">
        <f t="shared" si="106"/>
        <v>海南医学院</v>
      </c>
      <c r="G244" s="6" t="str">
        <f aca="true" t="shared" si="110" ref="G244:G251">"护理"</f>
        <v>护理</v>
      </c>
      <c r="H244" s="6" t="str">
        <f t="shared" si="109"/>
        <v>大专</v>
      </c>
      <c r="I244" s="8" t="s">
        <v>12</v>
      </c>
    </row>
    <row r="245" spans="1:9" ht="24" customHeight="1">
      <c r="A245" s="5">
        <v>243</v>
      </c>
      <c r="B245" s="6" t="s">
        <v>27</v>
      </c>
      <c r="C245" s="6" t="str">
        <f>"李琦"</f>
        <v>李琦</v>
      </c>
      <c r="D245" s="6" t="str">
        <f t="shared" si="86"/>
        <v>女</v>
      </c>
      <c r="E245" s="6" t="str">
        <f>"1998-01-06"</f>
        <v>1998-01-06</v>
      </c>
      <c r="F245" s="6" t="str">
        <f t="shared" si="106"/>
        <v>海南医学院</v>
      </c>
      <c r="G245" s="6" t="str">
        <f t="shared" si="110"/>
        <v>护理</v>
      </c>
      <c r="H245" s="6" t="str">
        <f t="shared" si="109"/>
        <v>大专</v>
      </c>
      <c r="I245" s="8" t="s">
        <v>12</v>
      </c>
    </row>
    <row r="246" spans="1:9" ht="24" customHeight="1">
      <c r="A246" s="5">
        <v>244</v>
      </c>
      <c r="B246" s="6" t="s">
        <v>27</v>
      </c>
      <c r="C246" s="6" t="str">
        <f>"张玲玉"</f>
        <v>张玲玉</v>
      </c>
      <c r="D246" s="6" t="str">
        <f t="shared" si="86"/>
        <v>女</v>
      </c>
      <c r="E246" s="6" t="str">
        <f>"1996-06-21"</f>
        <v>1996-06-21</v>
      </c>
      <c r="F246" s="6" t="str">
        <f>"湖南环境生物职业技术学院"</f>
        <v>湖南环境生物职业技术学院</v>
      </c>
      <c r="G246" s="6" t="str">
        <f>"护理学"</f>
        <v>护理学</v>
      </c>
      <c r="H246" s="6" t="str">
        <f t="shared" si="109"/>
        <v>大专</v>
      </c>
      <c r="I246" s="8" t="s">
        <v>12</v>
      </c>
    </row>
    <row r="247" spans="1:9" ht="24" customHeight="1">
      <c r="A247" s="5">
        <v>245</v>
      </c>
      <c r="B247" s="6" t="s">
        <v>27</v>
      </c>
      <c r="C247" s="6" t="str">
        <f>"王春香"</f>
        <v>王春香</v>
      </c>
      <c r="D247" s="6" t="str">
        <f t="shared" si="86"/>
        <v>女</v>
      </c>
      <c r="E247" s="6" t="str">
        <f>"1998-01-12"</f>
        <v>1998-01-12</v>
      </c>
      <c r="F247" s="6" t="str">
        <f aca="true" t="shared" si="111" ref="F247:F249">"海南医学院"</f>
        <v>海南医学院</v>
      </c>
      <c r="G247" s="6" t="str">
        <f t="shared" si="110"/>
        <v>护理</v>
      </c>
      <c r="H247" s="6" t="str">
        <f t="shared" si="109"/>
        <v>大专</v>
      </c>
      <c r="I247" s="8" t="s">
        <v>12</v>
      </c>
    </row>
    <row r="248" spans="1:9" ht="24" customHeight="1">
      <c r="A248" s="5">
        <v>246</v>
      </c>
      <c r="B248" s="6" t="s">
        <v>27</v>
      </c>
      <c r="C248" s="6" t="str">
        <f>"林倩怡"</f>
        <v>林倩怡</v>
      </c>
      <c r="D248" s="6" t="str">
        <f t="shared" si="86"/>
        <v>女</v>
      </c>
      <c r="E248" s="6" t="str">
        <f>"1999-07-16"</f>
        <v>1999-07-16</v>
      </c>
      <c r="F248" s="6" t="str">
        <f t="shared" si="111"/>
        <v>海南医学院</v>
      </c>
      <c r="G248" s="6" t="str">
        <f t="shared" si="110"/>
        <v>护理</v>
      </c>
      <c r="H248" s="6" t="str">
        <f t="shared" si="109"/>
        <v>大专</v>
      </c>
      <c r="I248" s="8" t="s">
        <v>12</v>
      </c>
    </row>
    <row r="249" spans="1:9" ht="24" customHeight="1">
      <c r="A249" s="5">
        <v>247</v>
      </c>
      <c r="B249" s="6" t="s">
        <v>27</v>
      </c>
      <c r="C249" s="6" t="str">
        <f>"林亮玉"</f>
        <v>林亮玉</v>
      </c>
      <c r="D249" s="6" t="str">
        <f t="shared" si="86"/>
        <v>女</v>
      </c>
      <c r="E249" s="6" t="str">
        <f>"1993-08-10"</f>
        <v>1993-08-10</v>
      </c>
      <c r="F249" s="6" t="str">
        <f t="shared" si="111"/>
        <v>海南医学院</v>
      </c>
      <c r="G249" s="6" t="str">
        <f t="shared" si="110"/>
        <v>护理</v>
      </c>
      <c r="H249" s="6" t="str">
        <f>"本科"</f>
        <v>本科</v>
      </c>
      <c r="I249" s="8" t="s">
        <v>12</v>
      </c>
    </row>
    <row r="250" spans="1:9" ht="24" customHeight="1">
      <c r="A250" s="5">
        <v>248</v>
      </c>
      <c r="B250" s="6" t="s">
        <v>27</v>
      </c>
      <c r="C250" s="6" t="str">
        <f>"罗丽君"</f>
        <v>罗丽君</v>
      </c>
      <c r="D250" s="6" t="str">
        <f t="shared" si="86"/>
        <v>女</v>
      </c>
      <c r="E250" s="6" t="str">
        <f>"1997-01-14"</f>
        <v>1997-01-14</v>
      </c>
      <c r="F250" s="6" t="str">
        <f>"江西医学高等专科学校"</f>
        <v>江西医学高等专科学校</v>
      </c>
      <c r="G250" s="6" t="str">
        <f t="shared" si="110"/>
        <v>护理</v>
      </c>
      <c r="H250" s="6" t="str">
        <f aca="true" t="shared" si="112" ref="H250:H253">"大专"</f>
        <v>大专</v>
      </c>
      <c r="I250" s="8" t="s">
        <v>16</v>
      </c>
    </row>
    <row r="251" spans="1:9" ht="24" customHeight="1">
      <c r="A251" s="5">
        <v>249</v>
      </c>
      <c r="B251" s="6" t="s">
        <v>27</v>
      </c>
      <c r="C251" s="6" t="str">
        <f>"孙仁丹"</f>
        <v>孙仁丹</v>
      </c>
      <c r="D251" s="6" t="str">
        <f t="shared" si="86"/>
        <v>女</v>
      </c>
      <c r="E251" s="6" t="str">
        <f>"1997-06-18"</f>
        <v>1997-06-18</v>
      </c>
      <c r="F251" s="6" t="str">
        <f aca="true" t="shared" si="113" ref="F251:F256">"海南医学院"</f>
        <v>海南医学院</v>
      </c>
      <c r="G251" s="6" t="str">
        <f t="shared" si="110"/>
        <v>护理</v>
      </c>
      <c r="H251" s="6" t="str">
        <f t="shared" si="112"/>
        <v>大专</v>
      </c>
      <c r="I251" s="8" t="s">
        <v>12</v>
      </c>
    </row>
    <row r="252" spans="1:9" ht="24" customHeight="1">
      <c r="A252" s="5">
        <v>250</v>
      </c>
      <c r="B252" s="6" t="s">
        <v>27</v>
      </c>
      <c r="C252" s="6" t="str">
        <f>"赵冠蓉"</f>
        <v>赵冠蓉</v>
      </c>
      <c r="D252" s="6" t="str">
        <f t="shared" si="86"/>
        <v>女</v>
      </c>
      <c r="E252" s="6" t="str">
        <f>"2001-05-08"</f>
        <v>2001-05-08</v>
      </c>
      <c r="F252" s="6" t="str">
        <f>"石家庄医学高等专科学校"</f>
        <v>石家庄医学高等专科学校</v>
      </c>
      <c r="G252" s="6" t="str">
        <f aca="true" t="shared" si="114" ref="G252:G257">"护理学"</f>
        <v>护理学</v>
      </c>
      <c r="H252" s="6" t="str">
        <f t="shared" si="112"/>
        <v>大专</v>
      </c>
      <c r="I252" s="8" t="s">
        <v>16</v>
      </c>
    </row>
    <row r="253" spans="1:9" ht="24" customHeight="1">
      <c r="A253" s="5">
        <v>251</v>
      </c>
      <c r="B253" s="6" t="s">
        <v>27</v>
      </c>
      <c r="C253" s="6" t="str">
        <f>"陈金鹅"</f>
        <v>陈金鹅</v>
      </c>
      <c r="D253" s="6" t="str">
        <f t="shared" si="86"/>
        <v>女</v>
      </c>
      <c r="E253" s="6" t="str">
        <f>"1996-10-28"</f>
        <v>1996-10-28</v>
      </c>
      <c r="F253" s="6" t="str">
        <f t="shared" si="113"/>
        <v>海南医学院</v>
      </c>
      <c r="G253" s="6" t="str">
        <f aca="true" t="shared" si="115" ref="G253:G256">"护理"</f>
        <v>护理</v>
      </c>
      <c r="H253" s="6" t="str">
        <f t="shared" si="112"/>
        <v>大专</v>
      </c>
      <c r="I253" s="8" t="s">
        <v>12</v>
      </c>
    </row>
    <row r="254" spans="1:9" ht="24" customHeight="1">
      <c r="A254" s="5">
        <v>252</v>
      </c>
      <c r="B254" s="6" t="s">
        <v>27</v>
      </c>
      <c r="C254" s="6" t="str">
        <f>"高婧"</f>
        <v>高婧</v>
      </c>
      <c r="D254" s="6" t="str">
        <f t="shared" si="86"/>
        <v>女</v>
      </c>
      <c r="E254" s="6" t="str">
        <f>"1996-10-30"</f>
        <v>1996-10-30</v>
      </c>
      <c r="F254" s="6" t="str">
        <f>"华北理工大学冀唐学院"</f>
        <v>华北理工大学冀唐学院</v>
      </c>
      <c r="G254" s="6" t="str">
        <f t="shared" si="115"/>
        <v>护理</v>
      </c>
      <c r="H254" s="6" t="str">
        <f>"本科"</f>
        <v>本科</v>
      </c>
      <c r="I254" s="8" t="s">
        <v>16</v>
      </c>
    </row>
    <row r="255" spans="1:9" ht="24" customHeight="1">
      <c r="A255" s="5">
        <v>253</v>
      </c>
      <c r="B255" s="6" t="s">
        <v>27</v>
      </c>
      <c r="C255" s="6" t="str">
        <f>"陈珍旗"</f>
        <v>陈珍旗</v>
      </c>
      <c r="D255" s="6" t="str">
        <f t="shared" si="86"/>
        <v>女</v>
      </c>
      <c r="E255" s="6" t="str">
        <f>"1998-12-30"</f>
        <v>1998-12-30</v>
      </c>
      <c r="F255" s="6" t="str">
        <f>"海南科技职业大学"</f>
        <v>海南科技职业大学</v>
      </c>
      <c r="G255" s="6" t="str">
        <f t="shared" si="114"/>
        <v>护理学</v>
      </c>
      <c r="H255" s="6" t="str">
        <f aca="true" t="shared" si="116" ref="H255:H258">"大专"</f>
        <v>大专</v>
      </c>
      <c r="I255" s="8" t="s">
        <v>16</v>
      </c>
    </row>
    <row r="256" spans="1:9" ht="24" customHeight="1">
      <c r="A256" s="5">
        <v>254</v>
      </c>
      <c r="B256" s="6" t="s">
        <v>27</v>
      </c>
      <c r="C256" s="6" t="str">
        <f>"谢德风"</f>
        <v>谢德风</v>
      </c>
      <c r="D256" s="6" t="str">
        <f t="shared" si="86"/>
        <v>女</v>
      </c>
      <c r="E256" s="6" t="str">
        <f>"1995-06-25"</f>
        <v>1995-06-25</v>
      </c>
      <c r="F256" s="6" t="str">
        <f t="shared" si="113"/>
        <v>海南医学院</v>
      </c>
      <c r="G256" s="6" t="str">
        <f t="shared" si="115"/>
        <v>护理</v>
      </c>
      <c r="H256" s="6" t="str">
        <f t="shared" si="116"/>
        <v>大专</v>
      </c>
      <c r="I256" s="8" t="s">
        <v>12</v>
      </c>
    </row>
    <row r="257" spans="1:9" ht="24" customHeight="1">
      <c r="A257" s="5">
        <v>255</v>
      </c>
      <c r="B257" s="6" t="s">
        <v>27</v>
      </c>
      <c r="C257" s="6" t="str">
        <f>"林佩月"</f>
        <v>林佩月</v>
      </c>
      <c r="D257" s="6" t="str">
        <f t="shared" si="86"/>
        <v>女</v>
      </c>
      <c r="E257" s="6" t="str">
        <f>"1993-09-09"</f>
        <v>1993-09-09</v>
      </c>
      <c r="F257" s="6" t="str">
        <f>"海南省卫校"</f>
        <v>海南省卫校</v>
      </c>
      <c r="G257" s="6" t="str">
        <f t="shared" si="114"/>
        <v>护理学</v>
      </c>
      <c r="H257" s="6" t="str">
        <f t="shared" si="116"/>
        <v>大专</v>
      </c>
      <c r="I257" s="8" t="s">
        <v>12</v>
      </c>
    </row>
    <row r="258" spans="1:9" ht="24" customHeight="1">
      <c r="A258" s="5">
        <v>256</v>
      </c>
      <c r="B258" s="6" t="s">
        <v>27</v>
      </c>
      <c r="C258" s="6" t="str">
        <f>"赵满"</f>
        <v>赵满</v>
      </c>
      <c r="D258" s="6" t="str">
        <f t="shared" si="86"/>
        <v>女</v>
      </c>
      <c r="E258" s="6" t="str">
        <f>"1997-08-16"</f>
        <v>1997-08-16</v>
      </c>
      <c r="F258" s="6" t="str">
        <f>"长春医学高等专科学校"</f>
        <v>长春医学高等专科学校</v>
      </c>
      <c r="G258" s="6" t="str">
        <f>"护理专业"</f>
        <v>护理专业</v>
      </c>
      <c r="H258" s="6" t="str">
        <f t="shared" si="116"/>
        <v>大专</v>
      </c>
      <c r="I258" s="8" t="s">
        <v>16</v>
      </c>
    </row>
    <row r="259" spans="1:9" ht="24" customHeight="1">
      <c r="A259" s="5">
        <v>257</v>
      </c>
      <c r="B259" s="6" t="s">
        <v>27</v>
      </c>
      <c r="C259" s="6" t="str">
        <f>"黄庆宽"</f>
        <v>黄庆宽</v>
      </c>
      <c r="D259" s="6" t="str">
        <f t="shared" si="86"/>
        <v>女</v>
      </c>
      <c r="E259" s="6" t="str">
        <f>"1995-12-08"</f>
        <v>1995-12-08</v>
      </c>
      <c r="F259" s="6" t="str">
        <f>"齐鲁医药学院"</f>
        <v>齐鲁医药学院</v>
      </c>
      <c r="G259" s="6" t="str">
        <f aca="true" t="shared" si="117" ref="G259:G264">"护理学"</f>
        <v>护理学</v>
      </c>
      <c r="H259" s="6" t="str">
        <f>"本科"</f>
        <v>本科</v>
      </c>
      <c r="I259" s="8" t="s">
        <v>16</v>
      </c>
    </row>
    <row r="260" spans="1:9" ht="24" customHeight="1">
      <c r="A260" s="5">
        <v>258</v>
      </c>
      <c r="B260" s="6" t="s">
        <v>27</v>
      </c>
      <c r="C260" s="6" t="str">
        <f>"李美琪"</f>
        <v>李美琪</v>
      </c>
      <c r="D260" s="6" t="str">
        <f t="shared" si="86"/>
        <v>女</v>
      </c>
      <c r="E260" s="6" t="str">
        <f>"1998-10-07"</f>
        <v>1998-10-07</v>
      </c>
      <c r="F260" s="6" t="str">
        <f>"海南科技职业大学"</f>
        <v>海南科技职业大学</v>
      </c>
      <c r="G260" s="6" t="str">
        <f aca="true" t="shared" si="118" ref="G260:G266">"护理"</f>
        <v>护理</v>
      </c>
      <c r="H260" s="6" t="str">
        <f aca="true" t="shared" si="119" ref="H260:H263">"大专"</f>
        <v>大专</v>
      </c>
      <c r="I260" s="8" t="s">
        <v>16</v>
      </c>
    </row>
    <row r="261" spans="1:9" ht="24" customHeight="1">
      <c r="A261" s="5">
        <v>259</v>
      </c>
      <c r="B261" s="6" t="s">
        <v>27</v>
      </c>
      <c r="C261" s="6" t="str">
        <f>"陈春娇"</f>
        <v>陈春娇</v>
      </c>
      <c r="D261" s="6" t="str">
        <f t="shared" si="86"/>
        <v>女</v>
      </c>
      <c r="E261" s="6" t="str">
        <f>"1992-10-05"</f>
        <v>1992-10-05</v>
      </c>
      <c r="F261" s="6" t="str">
        <f>"海南医学院"</f>
        <v>海南医学院</v>
      </c>
      <c r="G261" s="6" t="str">
        <f t="shared" si="117"/>
        <v>护理学</v>
      </c>
      <c r="H261" s="6" t="str">
        <f t="shared" si="119"/>
        <v>大专</v>
      </c>
      <c r="I261" s="8" t="s">
        <v>12</v>
      </c>
    </row>
    <row r="262" spans="1:9" ht="24" customHeight="1">
      <c r="A262" s="5">
        <v>260</v>
      </c>
      <c r="B262" s="6" t="s">
        <v>27</v>
      </c>
      <c r="C262" s="6" t="str">
        <f>"周清云"</f>
        <v>周清云</v>
      </c>
      <c r="D262" s="6" t="str">
        <f t="shared" si="86"/>
        <v>女</v>
      </c>
      <c r="E262" s="6" t="str">
        <f>"1997-01-14"</f>
        <v>1997-01-14</v>
      </c>
      <c r="F262" s="6" t="str">
        <f>"江西科技职业学院"</f>
        <v>江西科技职业学院</v>
      </c>
      <c r="G262" s="6" t="str">
        <f>"护理专业"</f>
        <v>护理专业</v>
      </c>
      <c r="H262" s="6" t="str">
        <f t="shared" si="119"/>
        <v>大专</v>
      </c>
      <c r="I262" s="8" t="s">
        <v>12</v>
      </c>
    </row>
    <row r="263" spans="1:9" ht="24" customHeight="1">
      <c r="A263" s="5">
        <v>261</v>
      </c>
      <c r="B263" s="6" t="s">
        <v>27</v>
      </c>
      <c r="C263" s="6" t="str">
        <f>"邢维婧"</f>
        <v>邢维婧</v>
      </c>
      <c r="D263" s="6" t="str">
        <f t="shared" si="86"/>
        <v>女</v>
      </c>
      <c r="E263" s="6" t="str">
        <f>"1996-12-29"</f>
        <v>1996-12-29</v>
      </c>
      <c r="F263" s="6" t="str">
        <f>"江西中医药高等专科学校"</f>
        <v>江西中医药高等专科学校</v>
      </c>
      <c r="G263" s="6" t="str">
        <f t="shared" si="118"/>
        <v>护理</v>
      </c>
      <c r="H263" s="6" t="str">
        <f t="shared" si="119"/>
        <v>大专</v>
      </c>
      <c r="I263" s="8" t="s">
        <v>12</v>
      </c>
    </row>
    <row r="264" spans="1:9" ht="24" customHeight="1">
      <c r="A264" s="5">
        <v>262</v>
      </c>
      <c r="B264" s="6" t="s">
        <v>27</v>
      </c>
      <c r="C264" s="6" t="str">
        <f>"张春莉"</f>
        <v>张春莉</v>
      </c>
      <c r="D264" s="6" t="str">
        <f t="shared" si="86"/>
        <v>女</v>
      </c>
      <c r="E264" s="6" t="str">
        <f>"1996-05-20"</f>
        <v>1996-05-20</v>
      </c>
      <c r="F264" s="6" t="str">
        <f>"长沙医学院"</f>
        <v>长沙医学院</v>
      </c>
      <c r="G264" s="6" t="str">
        <f t="shared" si="117"/>
        <v>护理学</v>
      </c>
      <c r="H264" s="6" t="str">
        <f aca="true" t="shared" si="120" ref="H264:H266">"本科"</f>
        <v>本科</v>
      </c>
      <c r="I264" s="8" t="s">
        <v>12</v>
      </c>
    </row>
    <row r="265" spans="1:9" ht="24" customHeight="1">
      <c r="A265" s="5">
        <v>263</v>
      </c>
      <c r="B265" s="6" t="s">
        <v>27</v>
      </c>
      <c r="C265" s="6" t="str">
        <f>"陈萍"</f>
        <v>陈萍</v>
      </c>
      <c r="D265" s="6" t="str">
        <f t="shared" si="86"/>
        <v>女</v>
      </c>
      <c r="E265" s="6" t="str">
        <f>"1995-05-29"</f>
        <v>1995-05-29</v>
      </c>
      <c r="F265" s="6" t="str">
        <f>"南昌大学"</f>
        <v>南昌大学</v>
      </c>
      <c r="G265" s="6" t="str">
        <f t="shared" si="118"/>
        <v>护理</v>
      </c>
      <c r="H265" s="6" t="str">
        <f t="shared" si="120"/>
        <v>本科</v>
      </c>
      <c r="I265" s="8" t="s">
        <v>12</v>
      </c>
    </row>
    <row r="266" spans="1:9" ht="24" customHeight="1">
      <c r="A266" s="5">
        <v>264</v>
      </c>
      <c r="B266" s="6" t="s">
        <v>27</v>
      </c>
      <c r="C266" s="6" t="str">
        <f>"叶伦珠"</f>
        <v>叶伦珠</v>
      </c>
      <c r="D266" s="6" t="str">
        <f aca="true" t="shared" si="121" ref="D266:D296">"女"</f>
        <v>女</v>
      </c>
      <c r="E266" s="6" t="str">
        <f>"1994-02-05"</f>
        <v>1994-02-05</v>
      </c>
      <c r="F266" s="6" t="str">
        <f>"海南医学院"</f>
        <v>海南医学院</v>
      </c>
      <c r="G266" s="6" t="str">
        <f t="shared" si="118"/>
        <v>护理</v>
      </c>
      <c r="H266" s="6" t="str">
        <f t="shared" si="120"/>
        <v>本科</v>
      </c>
      <c r="I266" s="8" t="s">
        <v>12</v>
      </c>
    </row>
    <row r="267" spans="1:9" ht="24" customHeight="1">
      <c r="A267" s="5">
        <v>265</v>
      </c>
      <c r="B267" s="6" t="s">
        <v>27</v>
      </c>
      <c r="C267" s="6" t="str">
        <f>"林海珠"</f>
        <v>林海珠</v>
      </c>
      <c r="D267" s="6" t="str">
        <f t="shared" si="121"/>
        <v>女</v>
      </c>
      <c r="E267" s="6" t="str">
        <f>"1996-02-26"</f>
        <v>1996-02-26</v>
      </c>
      <c r="F267" s="6" t="str">
        <f>"长沙医学院"</f>
        <v>长沙医学院</v>
      </c>
      <c r="G267" s="6" t="str">
        <f>"护理专业"</f>
        <v>护理专业</v>
      </c>
      <c r="H267" s="6" t="str">
        <f aca="true" t="shared" si="122" ref="H267:H271">"大专"</f>
        <v>大专</v>
      </c>
      <c r="I267" s="8" t="s">
        <v>12</v>
      </c>
    </row>
    <row r="268" spans="1:9" ht="24" customHeight="1">
      <c r="A268" s="5">
        <v>266</v>
      </c>
      <c r="B268" s="6" t="s">
        <v>27</v>
      </c>
      <c r="C268" s="6" t="str">
        <f>"林海玲"</f>
        <v>林海玲</v>
      </c>
      <c r="D268" s="6" t="str">
        <f t="shared" si="121"/>
        <v>女</v>
      </c>
      <c r="E268" s="6" t="str">
        <f>"1996-10-22"</f>
        <v>1996-10-22</v>
      </c>
      <c r="F268" s="6" t="str">
        <f>"海南医学院"</f>
        <v>海南医学院</v>
      </c>
      <c r="G268" s="6" t="str">
        <f aca="true" t="shared" si="123" ref="G268:G273">"护理学"</f>
        <v>护理学</v>
      </c>
      <c r="H268" s="6" t="str">
        <f aca="true" t="shared" si="124" ref="H268:H276">"本科"</f>
        <v>本科</v>
      </c>
      <c r="I268" s="8" t="s">
        <v>12</v>
      </c>
    </row>
    <row r="269" spans="1:9" ht="24" customHeight="1">
      <c r="A269" s="5">
        <v>267</v>
      </c>
      <c r="B269" s="6" t="s">
        <v>27</v>
      </c>
      <c r="C269" s="6" t="str">
        <f>"羊艳梅"</f>
        <v>羊艳梅</v>
      </c>
      <c r="D269" s="6" t="str">
        <f t="shared" si="121"/>
        <v>女</v>
      </c>
      <c r="E269" s="6" t="str">
        <f>"1995-02-24"</f>
        <v>1995-02-24</v>
      </c>
      <c r="F269" s="6" t="str">
        <f>"岳阳职业技术学院"</f>
        <v>岳阳职业技术学院</v>
      </c>
      <c r="G269" s="6" t="str">
        <f>"护理"</f>
        <v>护理</v>
      </c>
      <c r="H269" s="6" t="str">
        <f t="shared" si="122"/>
        <v>大专</v>
      </c>
      <c r="I269" s="8" t="s">
        <v>12</v>
      </c>
    </row>
    <row r="270" spans="1:9" ht="24" customHeight="1">
      <c r="A270" s="5">
        <v>268</v>
      </c>
      <c r="B270" s="6" t="s">
        <v>27</v>
      </c>
      <c r="C270" s="6" t="str">
        <f>"罗家莉"</f>
        <v>罗家莉</v>
      </c>
      <c r="D270" s="6" t="str">
        <f t="shared" si="121"/>
        <v>女</v>
      </c>
      <c r="E270" s="6" t="str">
        <f>"1999-02-03"</f>
        <v>1999-02-03</v>
      </c>
      <c r="F270" s="6" t="str">
        <f>"华北理工大学冀唐学院"</f>
        <v>华北理工大学冀唐学院</v>
      </c>
      <c r="G270" s="6" t="str">
        <f t="shared" si="123"/>
        <v>护理学</v>
      </c>
      <c r="H270" s="6" t="str">
        <f t="shared" si="124"/>
        <v>本科</v>
      </c>
      <c r="I270" s="8" t="s">
        <v>16</v>
      </c>
    </row>
    <row r="271" spans="1:9" ht="24" customHeight="1">
      <c r="A271" s="5">
        <v>269</v>
      </c>
      <c r="B271" s="6" t="s">
        <v>27</v>
      </c>
      <c r="C271" s="6" t="str">
        <f>"温丹玲"</f>
        <v>温丹玲</v>
      </c>
      <c r="D271" s="6" t="str">
        <f t="shared" si="121"/>
        <v>女</v>
      </c>
      <c r="E271" s="6" t="str">
        <f>"1994-10-05"</f>
        <v>1994-10-05</v>
      </c>
      <c r="F271" s="6" t="str">
        <f>"安徽中医药高等专科学校"</f>
        <v>安徽中医药高等专科学校</v>
      </c>
      <c r="G271" s="6" t="str">
        <f>"护理专业"</f>
        <v>护理专业</v>
      </c>
      <c r="H271" s="6" t="str">
        <f t="shared" si="122"/>
        <v>大专</v>
      </c>
      <c r="I271" s="8" t="s">
        <v>12</v>
      </c>
    </row>
    <row r="272" spans="1:9" ht="24" customHeight="1">
      <c r="A272" s="5">
        <v>270</v>
      </c>
      <c r="B272" s="6" t="s">
        <v>27</v>
      </c>
      <c r="C272" s="6" t="str">
        <f>"陈丽娃"</f>
        <v>陈丽娃</v>
      </c>
      <c r="D272" s="6" t="str">
        <f t="shared" si="121"/>
        <v>女</v>
      </c>
      <c r="E272" s="6" t="str">
        <f>"1995-05-17"</f>
        <v>1995-05-17</v>
      </c>
      <c r="F272" s="6" t="str">
        <f>"昆明医科大学"</f>
        <v>昆明医科大学</v>
      </c>
      <c r="G272" s="6" t="str">
        <f t="shared" si="123"/>
        <v>护理学</v>
      </c>
      <c r="H272" s="6" t="str">
        <f t="shared" si="124"/>
        <v>本科</v>
      </c>
      <c r="I272" s="8" t="s">
        <v>16</v>
      </c>
    </row>
    <row r="273" spans="1:9" ht="24" customHeight="1">
      <c r="A273" s="5">
        <v>271</v>
      </c>
      <c r="B273" s="6" t="s">
        <v>27</v>
      </c>
      <c r="C273" s="6" t="str">
        <f>"张蕾"</f>
        <v>张蕾</v>
      </c>
      <c r="D273" s="6" t="str">
        <f t="shared" si="121"/>
        <v>女</v>
      </c>
      <c r="E273" s="6" t="str">
        <f>"1993-11-05"</f>
        <v>1993-11-05</v>
      </c>
      <c r="F273" s="6" t="str">
        <f>"南昌大学"</f>
        <v>南昌大学</v>
      </c>
      <c r="G273" s="6" t="str">
        <f t="shared" si="123"/>
        <v>护理学</v>
      </c>
      <c r="H273" s="6" t="str">
        <f t="shared" si="124"/>
        <v>本科</v>
      </c>
      <c r="I273" s="8" t="s">
        <v>12</v>
      </c>
    </row>
    <row r="274" spans="1:9" ht="24" customHeight="1">
      <c r="A274" s="5">
        <v>272</v>
      </c>
      <c r="B274" s="6" t="s">
        <v>27</v>
      </c>
      <c r="C274" s="6" t="str">
        <f>"王丽宁"</f>
        <v>王丽宁</v>
      </c>
      <c r="D274" s="6" t="str">
        <f t="shared" si="121"/>
        <v>女</v>
      </c>
      <c r="E274" s="6" t="str">
        <f>"1995-12-03"</f>
        <v>1995-12-03</v>
      </c>
      <c r="F274" s="6" t="str">
        <f aca="true" t="shared" si="125" ref="F274:F279">"海南医学院"</f>
        <v>海南医学院</v>
      </c>
      <c r="G274" s="6" t="str">
        <f aca="true" t="shared" si="126" ref="G274:G281">"护理"</f>
        <v>护理</v>
      </c>
      <c r="H274" s="6" t="str">
        <f t="shared" si="124"/>
        <v>本科</v>
      </c>
      <c r="I274" s="8" t="s">
        <v>12</v>
      </c>
    </row>
    <row r="275" spans="1:9" ht="24" customHeight="1">
      <c r="A275" s="5">
        <v>273</v>
      </c>
      <c r="B275" s="6" t="s">
        <v>27</v>
      </c>
      <c r="C275" s="6" t="str">
        <f>"吴小卿"</f>
        <v>吴小卿</v>
      </c>
      <c r="D275" s="6" t="str">
        <f t="shared" si="121"/>
        <v>女</v>
      </c>
      <c r="E275" s="6" t="str">
        <f>"1993-02-01"</f>
        <v>1993-02-01</v>
      </c>
      <c r="F275" s="6" t="str">
        <f t="shared" si="125"/>
        <v>海南医学院</v>
      </c>
      <c r="G275" s="6" t="str">
        <f>"护理学"</f>
        <v>护理学</v>
      </c>
      <c r="H275" s="6" t="str">
        <f t="shared" si="124"/>
        <v>本科</v>
      </c>
      <c r="I275" s="8" t="s">
        <v>12</v>
      </c>
    </row>
    <row r="276" spans="1:9" ht="24" customHeight="1">
      <c r="A276" s="5">
        <v>274</v>
      </c>
      <c r="B276" s="6" t="s">
        <v>27</v>
      </c>
      <c r="C276" s="6" t="str">
        <f>"曾显梅"</f>
        <v>曾显梅</v>
      </c>
      <c r="D276" s="6" t="str">
        <f t="shared" si="121"/>
        <v>女</v>
      </c>
      <c r="E276" s="6" t="str">
        <f>"1993-01-28"</f>
        <v>1993-01-28</v>
      </c>
      <c r="F276" s="6" t="str">
        <f t="shared" si="125"/>
        <v>海南医学院</v>
      </c>
      <c r="G276" s="6" t="str">
        <f>"护理学"</f>
        <v>护理学</v>
      </c>
      <c r="H276" s="6" t="str">
        <f t="shared" si="124"/>
        <v>本科</v>
      </c>
      <c r="I276" s="8" t="s">
        <v>12</v>
      </c>
    </row>
    <row r="277" spans="1:9" ht="24" customHeight="1">
      <c r="A277" s="5">
        <v>275</v>
      </c>
      <c r="B277" s="6" t="s">
        <v>27</v>
      </c>
      <c r="C277" s="6" t="str">
        <f>"吴华怡"</f>
        <v>吴华怡</v>
      </c>
      <c r="D277" s="6" t="str">
        <f t="shared" si="121"/>
        <v>女</v>
      </c>
      <c r="E277" s="6" t="str">
        <f>"1997-11-04"</f>
        <v>1997-11-04</v>
      </c>
      <c r="F277" s="6" t="str">
        <f t="shared" si="125"/>
        <v>海南医学院</v>
      </c>
      <c r="G277" s="6" t="str">
        <f t="shared" si="126"/>
        <v>护理</v>
      </c>
      <c r="H277" s="6" t="str">
        <f aca="true" t="shared" si="127" ref="H277:H281">"大专"</f>
        <v>大专</v>
      </c>
      <c r="I277" s="8" t="s">
        <v>16</v>
      </c>
    </row>
    <row r="278" spans="1:9" ht="24" customHeight="1">
      <c r="A278" s="5">
        <v>276</v>
      </c>
      <c r="B278" s="6" t="s">
        <v>27</v>
      </c>
      <c r="C278" s="6" t="str">
        <f>"张慧"</f>
        <v>张慧</v>
      </c>
      <c r="D278" s="6" t="str">
        <f t="shared" si="121"/>
        <v>女</v>
      </c>
      <c r="E278" s="6" t="str">
        <f>"2000-12-10"</f>
        <v>2000-12-10</v>
      </c>
      <c r="F278" s="6" t="str">
        <f t="shared" si="125"/>
        <v>海南医学院</v>
      </c>
      <c r="G278" s="6" t="str">
        <f t="shared" si="126"/>
        <v>护理</v>
      </c>
      <c r="H278" s="6" t="str">
        <f t="shared" si="127"/>
        <v>大专</v>
      </c>
      <c r="I278" s="8" t="s">
        <v>12</v>
      </c>
    </row>
    <row r="279" spans="1:9" ht="24" customHeight="1">
      <c r="A279" s="5">
        <v>277</v>
      </c>
      <c r="B279" s="6" t="s">
        <v>27</v>
      </c>
      <c r="C279" s="6" t="str">
        <f>"王海花"</f>
        <v>王海花</v>
      </c>
      <c r="D279" s="6" t="str">
        <f t="shared" si="121"/>
        <v>女</v>
      </c>
      <c r="E279" s="6" t="str">
        <f>"1994-10-01"</f>
        <v>1994-10-01</v>
      </c>
      <c r="F279" s="6" t="str">
        <f t="shared" si="125"/>
        <v>海南医学院</v>
      </c>
      <c r="G279" s="6" t="str">
        <f t="shared" si="126"/>
        <v>护理</v>
      </c>
      <c r="H279" s="6" t="str">
        <f t="shared" si="127"/>
        <v>大专</v>
      </c>
      <c r="I279" s="8" t="s">
        <v>12</v>
      </c>
    </row>
    <row r="280" spans="1:9" ht="24" customHeight="1">
      <c r="A280" s="5">
        <v>278</v>
      </c>
      <c r="B280" s="6" t="s">
        <v>27</v>
      </c>
      <c r="C280" s="6" t="str">
        <f>"蔡艳春"</f>
        <v>蔡艳春</v>
      </c>
      <c r="D280" s="6" t="str">
        <f t="shared" si="121"/>
        <v>女</v>
      </c>
      <c r="E280" s="6" t="str">
        <f>"1998-02-04"</f>
        <v>1998-02-04</v>
      </c>
      <c r="F280" s="6" t="str">
        <f>"中南大学"</f>
        <v>中南大学</v>
      </c>
      <c r="G280" s="6" t="str">
        <f t="shared" si="126"/>
        <v>护理</v>
      </c>
      <c r="H280" s="6" t="str">
        <f t="shared" si="127"/>
        <v>大专</v>
      </c>
      <c r="I280" s="8" t="s">
        <v>12</v>
      </c>
    </row>
    <row r="281" spans="1:9" ht="24" customHeight="1">
      <c r="A281" s="5">
        <v>279</v>
      </c>
      <c r="B281" s="6" t="s">
        <v>27</v>
      </c>
      <c r="C281" s="6" t="str">
        <f>"林朝玲"</f>
        <v>林朝玲</v>
      </c>
      <c r="D281" s="6" t="str">
        <f t="shared" si="121"/>
        <v>女</v>
      </c>
      <c r="E281" s="6" t="str">
        <f>"1994-05-20"</f>
        <v>1994-05-20</v>
      </c>
      <c r="F281" s="6" t="str">
        <f aca="true" t="shared" si="128" ref="F281:F286">"海南医学院"</f>
        <v>海南医学院</v>
      </c>
      <c r="G281" s="6" t="str">
        <f t="shared" si="126"/>
        <v>护理</v>
      </c>
      <c r="H281" s="6" t="str">
        <f t="shared" si="127"/>
        <v>大专</v>
      </c>
      <c r="I281" s="8" t="s">
        <v>12</v>
      </c>
    </row>
    <row r="282" spans="1:9" ht="24" customHeight="1">
      <c r="A282" s="5">
        <v>280</v>
      </c>
      <c r="B282" s="6" t="s">
        <v>27</v>
      </c>
      <c r="C282" s="6" t="str">
        <f>"王艳花"</f>
        <v>王艳花</v>
      </c>
      <c r="D282" s="6" t="str">
        <f t="shared" si="121"/>
        <v>女</v>
      </c>
      <c r="E282" s="6" t="str">
        <f>"1998-05-15"</f>
        <v>1998-05-15</v>
      </c>
      <c r="F282" s="6" t="str">
        <f>"南昌大学"</f>
        <v>南昌大学</v>
      </c>
      <c r="G282" s="6" t="str">
        <f>"护理学"</f>
        <v>护理学</v>
      </c>
      <c r="H282" s="6" t="str">
        <f>"本科"</f>
        <v>本科</v>
      </c>
      <c r="I282" s="8" t="s">
        <v>12</v>
      </c>
    </row>
    <row r="283" spans="1:9" ht="24" customHeight="1">
      <c r="A283" s="5">
        <v>281</v>
      </c>
      <c r="B283" s="6" t="s">
        <v>27</v>
      </c>
      <c r="C283" s="6" t="str">
        <f>"谢多桃"</f>
        <v>谢多桃</v>
      </c>
      <c r="D283" s="6" t="str">
        <f t="shared" si="121"/>
        <v>女</v>
      </c>
      <c r="E283" s="6" t="str">
        <f>"1995-05-03"</f>
        <v>1995-05-03</v>
      </c>
      <c r="F283" s="6" t="str">
        <f t="shared" si="128"/>
        <v>海南医学院</v>
      </c>
      <c r="G283" s="6" t="str">
        <f aca="true" t="shared" si="129" ref="G283:G286">"护理"</f>
        <v>护理</v>
      </c>
      <c r="H283" s="6" t="str">
        <f aca="true" t="shared" si="130" ref="H283:H287">"大专"</f>
        <v>大专</v>
      </c>
      <c r="I283" s="8" t="s">
        <v>16</v>
      </c>
    </row>
    <row r="284" spans="1:9" ht="24" customHeight="1">
      <c r="A284" s="5">
        <v>282</v>
      </c>
      <c r="B284" s="6" t="s">
        <v>27</v>
      </c>
      <c r="C284" s="6" t="str">
        <f>"苏香菲"</f>
        <v>苏香菲</v>
      </c>
      <c r="D284" s="6" t="str">
        <f t="shared" si="121"/>
        <v>女</v>
      </c>
      <c r="E284" s="6" t="str">
        <f>"1995-10-07"</f>
        <v>1995-10-07</v>
      </c>
      <c r="F284" s="6" t="str">
        <f>"湖北仙桃职业学院"</f>
        <v>湖北仙桃职业学院</v>
      </c>
      <c r="G284" s="6" t="str">
        <f t="shared" si="129"/>
        <v>护理</v>
      </c>
      <c r="H284" s="6" t="str">
        <f t="shared" si="130"/>
        <v>大专</v>
      </c>
      <c r="I284" s="8" t="s">
        <v>12</v>
      </c>
    </row>
    <row r="285" spans="1:9" ht="24" customHeight="1">
      <c r="A285" s="5">
        <v>283</v>
      </c>
      <c r="B285" s="6" t="s">
        <v>27</v>
      </c>
      <c r="C285" s="6" t="str">
        <f>"苏应佳"</f>
        <v>苏应佳</v>
      </c>
      <c r="D285" s="6" t="str">
        <f t="shared" si="121"/>
        <v>女</v>
      </c>
      <c r="E285" s="6" t="str">
        <f>"1998-04-18"</f>
        <v>1998-04-18</v>
      </c>
      <c r="F285" s="6" t="str">
        <f>"齐鲁医药学院"</f>
        <v>齐鲁医药学院</v>
      </c>
      <c r="G285" s="6" t="str">
        <f t="shared" si="129"/>
        <v>护理</v>
      </c>
      <c r="H285" s="6" t="str">
        <f t="shared" si="130"/>
        <v>大专</v>
      </c>
      <c r="I285" s="8" t="s">
        <v>16</v>
      </c>
    </row>
    <row r="286" spans="1:9" ht="24" customHeight="1">
      <c r="A286" s="5">
        <v>284</v>
      </c>
      <c r="B286" s="6" t="s">
        <v>27</v>
      </c>
      <c r="C286" s="6" t="str">
        <f>"苏彬彬"</f>
        <v>苏彬彬</v>
      </c>
      <c r="D286" s="6" t="str">
        <f t="shared" si="121"/>
        <v>女</v>
      </c>
      <c r="E286" s="6" t="str">
        <f>"1999-06-19"</f>
        <v>1999-06-19</v>
      </c>
      <c r="F286" s="6" t="str">
        <f t="shared" si="128"/>
        <v>海南医学院</v>
      </c>
      <c r="G286" s="6" t="str">
        <f t="shared" si="129"/>
        <v>护理</v>
      </c>
      <c r="H286" s="6" t="str">
        <f t="shared" si="130"/>
        <v>大专</v>
      </c>
      <c r="I286" s="8" t="s">
        <v>12</v>
      </c>
    </row>
    <row r="287" spans="1:9" ht="24" customHeight="1">
      <c r="A287" s="5">
        <v>285</v>
      </c>
      <c r="B287" s="6" t="s">
        <v>27</v>
      </c>
      <c r="C287" s="6" t="str">
        <f>"张俊华"</f>
        <v>张俊华</v>
      </c>
      <c r="D287" s="6" t="str">
        <f t="shared" si="121"/>
        <v>女</v>
      </c>
      <c r="E287" s="6" t="str">
        <f>"1997-11-14"</f>
        <v>1997-11-14</v>
      </c>
      <c r="F287" s="6" t="str">
        <f>"鹤壁职业技术学院"</f>
        <v>鹤壁职业技术学院</v>
      </c>
      <c r="G287" s="6" t="str">
        <f>"护理学"</f>
        <v>护理学</v>
      </c>
      <c r="H287" s="6" t="str">
        <f t="shared" si="130"/>
        <v>大专</v>
      </c>
      <c r="I287" s="8" t="s">
        <v>12</v>
      </c>
    </row>
    <row r="288" spans="1:9" ht="24" customHeight="1">
      <c r="A288" s="5">
        <v>286</v>
      </c>
      <c r="B288" s="6" t="s">
        <v>27</v>
      </c>
      <c r="C288" s="6" t="str">
        <f>"林桂琼"</f>
        <v>林桂琼</v>
      </c>
      <c r="D288" s="6" t="str">
        <f t="shared" si="121"/>
        <v>女</v>
      </c>
      <c r="E288" s="6" t="str">
        <f>"1994-04-18"</f>
        <v>1994-04-18</v>
      </c>
      <c r="F288" s="6" t="str">
        <f>"海南医学"</f>
        <v>海南医学</v>
      </c>
      <c r="G288" s="6" t="str">
        <f aca="true" t="shared" si="131" ref="G288:G294">"护理"</f>
        <v>护理</v>
      </c>
      <c r="H288" s="6" t="str">
        <f>"本科"</f>
        <v>本科</v>
      </c>
      <c r="I288" s="8" t="s">
        <v>12</v>
      </c>
    </row>
    <row r="289" spans="1:9" ht="24" customHeight="1">
      <c r="A289" s="5">
        <v>287</v>
      </c>
      <c r="B289" s="6" t="s">
        <v>27</v>
      </c>
      <c r="C289" s="6" t="str">
        <f>"洪晓曼"</f>
        <v>洪晓曼</v>
      </c>
      <c r="D289" s="6" t="str">
        <f t="shared" si="121"/>
        <v>女</v>
      </c>
      <c r="E289" s="6" t="str">
        <f>"1994-05-29"</f>
        <v>1994-05-29</v>
      </c>
      <c r="F289" s="6" t="str">
        <f>"江西科技学院"</f>
        <v>江西科技学院</v>
      </c>
      <c r="G289" s="6" t="str">
        <f>"护理学"</f>
        <v>护理学</v>
      </c>
      <c r="H289" s="6" t="str">
        <f>"本科"</f>
        <v>本科</v>
      </c>
      <c r="I289" s="8" t="s">
        <v>12</v>
      </c>
    </row>
    <row r="290" spans="1:9" ht="24" customHeight="1">
      <c r="A290" s="5">
        <v>288</v>
      </c>
      <c r="B290" s="6" t="s">
        <v>27</v>
      </c>
      <c r="C290" s="6" t="str">
        <f>"李君"</f>
        <v>李君</v>
      </c>
      <c r="D290" s="6" t="str">
        <f t="shared" si="121"/>
        <v>女</v>
      </c>
      <c r="E290" s="6" t="str">
        <f>"1995-05-08"</f>
        <v>1995-05-08</v>
      </c>
      <c r="F290" s="6" t="str">
        <f>"海南医学院"</f>
        <v>海南医学院</v>
      </c>
      <c r="G290" s="6" t="str">
        <f t="shared" si="131"/>
        <v>护理</v>
      </c>
      <c r="H290" s="6" t="str">
        <f aca="true" t="shared" si="132" ref="H290:H293">"大专"</f>
        <v>大专</v>
      </c>
      <c r="I290" s="8" t="s">
        <v>12</v>
      </c>
    </row>
    <row r="291" spans="1:9" ht="24" customHeight="1">
      <c r="A291" s="5">
        <v>289</v>
      </c>
      <c r="B291" s="6" t="s">
        <v>27</v>
      </c>
      <c r="C291" s="6" t="str">
        <f>"李燕云"</f>
        <v>李燕云</v>
      </c>
      <c r="D291" s="6" t="str">
        <f t="shared" si="121"/>
        <v>女</v>
      </c>
      <c r="E291" s="6" t="str">
        <f>"1997-04-11"</f>
        <v>1997-04-11</v>
      </c>
      <c r="F291" s="6" t="str">
        <f>"海南科技职业大学"</f>
        <v>海南科技职业大学</v>
      </c>
      <c r="G291" s="6" t="str">
        <f t="shared" si="131"/>
        <v>护理</v>
      </c>
      <c r="H291" s="6" t="str">
        <f t="shared" si="132"/>
        <v>大专</v>
      </c>
      <c r="I291" s="8" t="s">
        <v>12</v>
      </c>
    </row>
    <row r="292" spans="1:9" ht="24" customHeight="1">
      <c r="A292" s="5">
        <v>290</v>
      </c>
      <c r="B292" s="6" t="s">
        <v>27</v>
      </c>
      <c r="C292" s="6" t="str">
        <f>"肖红玉"</f>
        <v>肖红玉</v>
      </c>
      <c r="D292" s="6" t="str">
        <f t="shared" si="121"/>
        <v>女</v>
      </c>
      <c r="E292" s="6" t="str">
        <f>"1995-07-24"</f>
        <v>1995-07-24</v>
      </c>
      <c r="F292" s="6" t="str">
        <f>"海南医学院"</f>
        <v>海南医学院</v>
      </c>
      <c r="G292" s="6" t="str">
        <f t="shared" si="131"/>
        <v>护理</v>
      </c>
      <c r="H292" s="6" t="str">
        <f t="shared" si="132"/>
        <v>大专</v>
      </c>
      <c r="I292" s="8" t="s">
        <v>12</v>
      </c>
    </row>
    <row r="293" spans="1:9" ht="24" customHeight="1">
      <c r="A293" s="5">
        <v>291</v>
      </c>
      <c r="B293" s="6" t="s">
        <v>27</v>
      </c>
      <c r="C293" s="6" t="str">
        <f>"甘小妹"</f>
        <v>甘小妹</v>
      </c>
      <c r="D293" s="6" t="str">
        <f t="shared" si="121"/>
        <v>女</v>
      </c>
      <c r="E293" s="6" t="str">
        <f>"1993-06-07"</f>
        <v>1993-06-07</v>
      </c>
      <c r="F293" s="6" t="str">
        <f>"海南省医学院"</f>
        <v>海南省医学院</v>
      </c>
      <c r="G293" s="6" t="str">
        <f t="shared" si="131"/>
        <v>护理</v>
      </c>
      <c r="H293" s="6" t="str">
        <f t="shared" si="132"/>
        <v>大专</v>
      </c>
      <c r="I293" s="8" t="s">
        <v>12</v>
      </c>
    </row>
    <row r="294" spans="1:9" ht="24" customHeight="1">
      <c r="A294" s="5">
        <v>292</v>
      </c>
      <c r="B294" s="6" t="s">
        <v>27</v>
      </c>
      <c r="C294" s="6" t="str">
        <f>"吴佳晓"</f>
        <v>吴佳晓</v>
      </c>
      <c r="D294" s="6" t="str">
        <f t="shared" si="121"/>
        <v>女</v>
      </c>
      <c r="E294" s="6" t="str">
        <f>"1992-11-24"</f>
        <v>1992-11-24</v>
      </c>
      <c r="F294" s="6" t="str">
        <f>"四川大学"</f>
        <v>四川大学</v>
      </c>
      <c r="G294" s="6" t="str">
        <f t="shared" si="131"/>
        <v>护理</v>
      </c>
      <c r="H294" s="6" t="str">
        <f aca="true" t="shared" si="133" ref="H294:H298">"本科"</f>
        <v>本科</v>
      </c>
      <c r="I294" s="8" t="s">
        <v>12</v>
      </c>
    </row>
    <row r="295" spans="1:9" ht="24" customHeight="1">
      <c r="A295" s="5">
        <v>293</v>
      </c>
      <c r="B295" s="6" t="s">
        <v>27</v>
      </c>
      <c r="C295" s="6" t="str">
        <f>"林英銮"</f>
        <v>林英銮</v>
      </c>
      <c r="D295" s="6" t="str">
        <f t="shared" si="121"/>
        <v>女</v>
      </c>
      <c r="E295" s="6" t="str">
        <f>"1995-08-10"</f>
        <v>1995-08-10</v>
      </c>
      <c r="F295" s="6" t="str">
        <f>"哈尔滨医科大学"</f>
        <v>哈尔滨医科大学</v>
      </c>
      <c r="G295" s="6" t="str">
        <f aca="true" t="shared" si="134" ref="G295:G299">"护理学"</f>
        <v>护理学</v>
      </c>
      <c r="H295" s="6" t="str">
        <f t="shared" si="133"/>
        <v>本科</v>
      </c>
      <c r="I295" s="8" t="s">
        <v>16</v>
      </c>
    </row>
    <row r="296" spans="1:9" ht="24" customHeight="1">
      <c r="A296" s="5">
        <v>294</v>
      </c>
      <c r="B296" s="6" t="s">
        <v>27</v>
      </c>
      <c r="C296" s="6" t="str">
        <f>"黄垂慧"</f>
        <v>黄垂慧</v>
      </c>
      <c r="D296" s="6" t="str">
        <f t="shared" si="121"/>
        <v>女</v>
      </c>
      <c r="E296" s="6" t="str">
        <f>"1994-08-13"</f>
        <v>1994-08-13</v>
      </c>
      <c r="F296" s="6" t="str">
        <f>"湖北省荆州职业技术学院"</f>
        <v>湖北省荆州职业技术学院</v>
      </c>
      <c r="G296" s="6" t="str">
        <f>"护理专业"</f>
        <v>护理专业</v>
      </c>
      <c r="H296" s="6" t="str">
        <f aca="true" t="shared" si="135" ref="H296:H303">"大专"</f>
        <v>大专</v>
      </c>
      <c r="I296" s="8" t="s">
        <v>12</v>
      </c>
    </row>
    <row r="297" spans="1:9" ht="24" customHeight="1">
      <c r="A297" s="5">
        <v>295</v>
      </c>
      <c r="B297" s="6" t="s">
        <v>27</v>
      </c>
      <c r="C297" s="6" t="str">
        <f>"唐子东"</f>
        <v>唐子东</v>
      </c>
      <c r="D297" s="6" t="str">
        <f>"男"</f>
        <v>男</v>
      </c>
      <c r="E297" s="6" t="str">
        <f>"1998-04-09"</f>
        <v>1998-04-09</v>
      </c>
      <c r="F297" s="6" t="str">
        <f>"济源职业技术学院"</f>
        <v>济源职业技术学院</v>
      </c>
      <c r="G297" s="6" t="str">
        <f t="shared" si="134"/>
        <v>护理学</v>
      </c>
      <c r="H297" s="6" t="str">
        <f t="shared" si="135"/>
        <v>大专</v>
      </c>
      <c r="I297" s="8" t="s">
        <v>16</v>
      </c>
    </row>
    <row r="298" spans="1:9" ht="24" customHeight="1">
      <c r="A298" s="5">
        <v>296</v>
      </c>
      <c r="B298" s="6" t="s">
        <v>27</v>
      </c>
      <c r="C298" s="6" t="str">
        <f>"董红旭"</f>
        <v>董红旭</v>
      </c>
      <c r="D298" s="6" t="str">
        <f aca="true" t="shared" si="136" ref="D298:D338">"女"</f>
        <v>女</v>
      </c>
      <c r="E298" s="6" t="str">
        <f>"1992-07-27"</f>
        <v>1992-07-27</v>
      </c>
      <c r="F298" s="6" t="str">
        <f aca="true" t="shared" si="137" ref="F298:F302">"海南医学院"</f>
        <v>海南医学院</v>
      </c>
      <c r="G298" s="6" t="str">
        <f t="shared" si="134"/>
        <v>护理学</v>
      </c>
      <c r="H298" s="6" t="str">
        <f t="shared" si="133"/>
        <v>本科</v>
      </c>
      <c r="I298" s="8" t="s">
        <v>12</v>
      </c>
    </row>
    <row r="299" spans="1:9" ht="24" customHeight="1">
      <c r="A299" s="5">
        <v>297</v>
      </c>
      <c r="B299" s="6" t="s">
        <v>27</v>
      </c>
      <c r="C299" s="6" t="str">
        <f>"揭英瑛"</f>
        <v>揭英瑛</v>
      </c>
      <c r="D299" s="6" t="str">
        <f t="shared" si="136"/>
        <v>女</v>
      </c>
      <c r="E299" s="6" t="str">
        <f>"1993-07-10"</f>
        <v>1993-07-10</v>
      </c>
      <c r="F299" s="6" t="str">
        <f>"石家庄职工大学"</f>
        <v>石家庄职工大学</v>
      </c>
      <c r="G299" s="6" t="str">
        <f t="shared" si="134"/>
        <v>护理学</v>
      </c>
      <c r="H299" s="6" t="str">
        <f t="shared" si="135"/>
        <v>大专</v>
      </c>
      <c r="I299" s="8" t="s">
        <v>12</v>
      </c>
    </row>
    <row r="300" spans="1:9" ht="24" customHeight="1">
      <c r="A300" s="5">
        <v>298</v>
      </c>
      <c r="B300" s="6" t="s">
        <v>27</v>
      </c>
      <c r="C300" s="6" t="str">
        <f>"孔丽英"</f>
        <v>孔丽英</v>
      </c>
      <c r="D300" s="6" t="str">
        <f t="shared" si="136"/>
        <v>女</v>
      </c>
      <c r="E300" s="6" t="str">
        <f>"1996-11-09"</f>
        <v>1996-11-09</v>
      </c>
      <c r="F300" s="6" t="str">
        <f t="shared" si="137"/>
        <v>海南医学院</v>
      </c>
      <c r="G300" s="6" t="str">
        <f aca="true" t="shared" si="138" ref="G300:G305">"护理"</f>
        <v>护理</v>
      </c>
      <c r="H300" s="6" t="str">
        <f t="shared" si="135"/>
        <v>大专</v>
      </c>
      <c r="I300" s="8" t="s">
        <v>12</v>
      </c>
    </row>
    <row r="301" spans="1:9" ht="24" customHeight="1">
      <c r="A301" s="5">
        <v>299</v>
      </c>
      <c r="B301" s="6" t="s">
        <v>27</v>
      </c>
      <c r="C301" s="6" t="str">
        <f>"林雅颖"</f>
        <v>林雅颖</v>
      </c>
      <c r="D301" s="6" t="str">
        <f t="shared" si="136"/>
        <v>女</v>
      </c>
      <c r="E301" s="6" t="str">
        <f>"1999-08-04"</f>
        <v>1999-08-04</v>
      </c>
      <c r="F301" s="6" t="str">
        <f>"黄冈职业技术学院"</f>
        <v>黄冈职业技术学院</v>
      </c>
      <c r="G301" s="6" t="str">
        <f>"护理专业"</f>
        <v>护理专业</v>
      </c>
      <c r="H301" s="6" t="str">
        <f t="shared" si="135"/>
        <v>大专</v>
      </c>
      <c r="I301" s="8" t="s">
        <v>12</v>
      </c>
    </row>
    <row r="302" spans="1:9" ht="24" customHeight="1">
      <c r="A302" s="5">
        <v>300</v>
      </c>
      <c r="B302" s="6" t="s">
        <v>27</v>
      </c>
      <c r="C302" s="6" t="str">
        <f>"林丽娟"</f>
        <v>林丽娟</v>
      </c>
      <c r="D302" s="6" t="str">
        <f t="shared" si="136"/>
        <v>女</v>
      </c>
      <c r="E302" s="6" t="str">
        <f>"1999-07-29"</f>
        <v>1999-07-29</v>
      </c>
      <c r="F302" s="6" t="str">
        <f t="shared" si="137"/>
        <v>海南医学院</v>
      </c>
      <c r="G302" s="6" t="str">
        <f>"护理专业"</f>
        <v>护理专业</v>
      </c>
      <c r="H302" s="6" t="str">
        <f t="shared" si="135"/>
        <v>大专</v>
      </c>
      <c r="I302" s="8" t="s">
        <v>12</v>
      </c>
    </row>
    <row r="303" spans="1:9" ht="24" customHeight="1">
      <c r="A303" s="5">
        <v>301</v>
      </c>
      <c r="B303" s="6" t="s">
        <v>27</v>
      </c>
      <c r="C303" s="6" t="str">
        <f>"林坚花"</f>
        <v>林坚花</v>
      </c>
      <c r="D303" s="6" t="str">
        <f t="shared" si="136"/>
        <v>女</v>
      </c>
      <c r="E303" s="6" t="str">
        <f>"2001-08-27"</f>
        <v>2001-08-27</v>
      </c>
      <c r="F303" s="6" t="str">
        <f>"山西医科大学"</f>
        <v>山西医科大学</v>
      </c>
      <c r="G303" s="6" t="str">
        <f t="shared" si="138"/>
        <v>护理</v>
      </c>
      <c r="H303" s="6" t="str">
        <f t="shared" si="135"/>
        <v>大专</v>
      </c>
      <c r="I303" s="8" t="s">
        <v>16</v>
      </c>
    </row>
    <row r="304" spans="1:9" ht="24" customHeight="1">
      <c r="A304" s="5">
        <v>302</v>
      </c>
      <c r="B304" s="6" t="s">
        <v>27</v>
      </c>
      <c r="C304" s="6" t="str">
        <f>"符爱丽"</f>
        <v>符爱丽</v>
      </c>
      <c r="D304" s="6" t="str">
        <f t="shared" si="136"/>
        <v>女</v>
      </c>
      <c r="E304" s="6" t="str">
        <f>"1993-11-04"</f>
        <v>1993-11-04</v>
      </c>
      <c r="F304" s="6" t="str">
        <f>"长江大学文理学院"</f>
        <v>长江大学文理学院</v>
      </c>
      <c r="G304" s="6" t="str">
        <f t="shared" si="138"/>
        <v>护理</v>
      </c>
      <c r="H304" s="6" t="str">
        <f aca="true" t="shared" si="139" ref="H304:H307">"本科"</f>
        <v>本科</v>
      </c>
      <c r="I304" s="8" t="s">
        <v>16</v>
      </c>
    </row>
    <row r="305" spans="1:9" ht="24" customHeight="1">
      <c r="A305" s="5">
        <v>303</v>
      </c>
      <c r="B305" s="6" t="s">
        <v>27</v>
      </c>
      <c r="C305" s="6" t="str">
        <f>"王春南"</f>
        <v>王春南</v>
      </c>
      <c r="D305" s="6" t="str">
        <f t="shared" si="136"/>
        <v>女</v>
      </c>
      <c r="E305" s="6" t="str">
        <f>"1998-06-01"</f>
        <v>1998-06-01</v>
      </c>
      <c r="F305" s="6" t="str">
        <f>"山西医科大学"</f>
        <v>山西医科大学</v>
      </c>
      <c r="G305" s="6" t="str">
        <f t="shared" si="138"/>
        <v>护理</v>
      </c>
      <c r="H305" s="6" t="str">
        <f aca="true" t="shared" si="140" ref="H305:H313">"大专"</f>
        <v>大专</v>
      </c>
      <c r="I305" s="8" t="s">
        <v>16</v>
      </c>
    </row>
    <row r="306" spans="1:9" ht="24" customHeight="1">
      <c r="A306" s="5">
        <v>304</v>
      </c>
      <c r="B306" s="6" t="s">
        <v>27</v>
      </c>
      <c r="C306" s="6" t="str">
        <f>"陈瑞凌"</f>
        <v>陈瑞凌</v>
      </c>
      <c r="D306" s="6" t="str">
        <f t="shared" si="136"/>
        <v>女</v>
      </c>
      <c r="E306" s="6" t="str">
        <f>"1997-02-02"</f>
        <v>1997-02-02</v>
      </c>
      <c r="F306" s="6" t="str">
        <f>"长沙医学院"</f>
        <v>长沙医学院</v>
      </c>
      <c r="G306" s="6" t="str">
        <f aca="true" t="shared" si="141" ref="G306:G311">"护理学"</f>
        <v>护理学</v>
      </c>
      <c r="H306" s="6" t="str">
        <f t="shared" si="139"/>
        <v>本科</v>
      </c>
      <c r="I306" s="8" t="s">
        <v>16</v>
      </c>
    </row>
    <row r="307" spans="1:9" ht="24" customHeight="1">
      <c r="A307" s="5">
        <v>305</v>
      </c>
      <c r="B307" s="6" t="s">
        <v>27</v>
      </c>
      <c r="C307" s="6" t="str">
        <f>"潘燕霞"</f>
        <v>潘燕霞</v>
      </c>
      <c r="D307" s="6" t="str">
        <f t="shared" si="136"/>
        <v>女</v>
      </c>
      <c r="E307" s="6" t="str">
        <f>"1994-06-10"</f>
        <v>1994-06-10</v>
      </c>
      <c r="F307" s="6" t="str">
        <f>"海南医学院"</f>
        <v>海南医学院</v>
      </c>
      <c r="G307" s="6" t="str">
        <f aca="true" t="shared" si="142" ref="G307:G310">"护理"</f>
        <v>护理</v>
      </c>
      <c r="H307" s="6" t="str">
        <f t="shared" si="139"/>
        <v>本科</v>
      </c>
      <c r="I307" s="8" t="s">
        <v>12</v>
      </c>
    </row>
    <row r="308" spans="1:9" ht="24" customHeight="1">
      <c r="A308" s="5">
        <v>306</v>
      </c>
      <c r="B308" s="6" t="s">
        <v>27</v>
      </c>
      <c r="C308" s="6" t="str">
        <f>"陈倩灵"</f>
        <v>陈倩灵</v>
      </c>
      <c r="D308" s="6" t="str">
        <f t="shared" si="136"/>
        <v>女</v>
      </c>
      <c r="E308" s="6" t="str">
        <f>"1998-01-20"</f>
        <v>1998-01-20</v>
      </c>
      <c r="F308" s="6" t="str">
        <f>"江西卫生职业学院"</f>
        <v>江西卫生职业学院</v>
      </c>
      <c r="G308" s="6" t="str">
        <f t="shared" si="142"/>
        <v>护理</v>
      </c>
      <c r="H308" s="6" t="str">
        <f t="shared" si="140"/>
        <v>大专</v>
      </c>
      <c r="I308" s="8" t="s">
        <v>12</v>
      </c>
    </row>
    <row r="309" spans="1:9" ht="24" customHeight="1">
      <c r="A309" s="5">
        <v>307</v>
      </c>
      <c r="B309" s="6" t="s">
        <v>27</v>
      </c>
      <c r="C309" s="6" t="str">
        <f>"王立焕"</f>
        <v>王立焕</v>
      </c>
      <c r="D309" s="6" t="str">
        <f t="shared" si="136"/>
        <v>女</v>
      </c>
      <c r="E309" s="6" t="str">
        <f>"1996-10-06"</f>
        <v>1996-10-06</v>
      </c>
      <c r="F309" s="6" t="str">
        <f>"海南医学院"</f>
        <v>海南医学院</v>
      </c>
      <c r="G309" s="6" t="str">
        <f t="shared" si="141"/>
        <v>护理学</v>
      </c>
      <c r="H309" s="6" t="str">
        <f>"本科"</f>
        <v>本科</v>
      </c>
      <c r="I309" s="8" t="s">
        <v>16</v>
      </c>
    </row>
    <row r="310" spans="1:9" ht="24" customHeight="1">
      <c r="A310" s="5">
        <v>308</v>
      </c>
      <c r="B310" s="6" t="s">
        <v>27</v>
      </c>
      <c r="C310" s="6" t="str">
        <f>"王晶"</f>
        <v>王晶</v>
      </c>
      <c r="D310" s="6" t="str">
        <f t="shared" si="136"/>
        <v>女</v>
      </c>
      <c r="E310" s="6" t="str">
        <f>"1998-06-02"</f>
        <v>1998-06-02</v>
      </c>
      <c r="F310" s="6" t="str">
        <f>"海南省卫生学校"</f>
        <v>海南省卫生学校</v>
      </c>
      <c r="G310" s="6" t="str">
        <f t="shared" si="142"/>
        <v>护理</v>
      </c>
      <c r="H310" s="6" t="str">
        <f t="shared" si="140"/>
        <v>大专</v>
      </c>
      <c r="I310" s="8" t="s">
        <v>12</v>
      </c>
    </row>
    <row r="311" spans="1:9" ht="24" customHeight="1">
      <c r="A311" s="5">
        <v>309</v>
      </c>
      <c r="B311" s="6" t="s">
        <v>27</v>
      </c>
      <c r="C311" s="6" t="str">
        <f>"蔡莲益"</f>
        <v>蔡莲益</v>
      </c>
      <c r="D311" s="6" t="str">
        <f t="shared" si="136"/>
        <v>女</v>
      </c>
      <c r="E311" s="6" t="str">
        <f>"1996-09-29"</f>
        <v>1996-09-29</v>
      </c>
      <c r="F311" s="6" t="str">
        <f>"山西医科大汾阳学院"</f>
        <v>山西医科大汾阳学院</v>
      </c>
      <c r="G311" s="6" t="str">
        <f t="shared" si="141"/>
        <v>护理学</v>
      </c>
      <c r="H311" s="6" t="str">
        <f t="shared" si="140"/>
        <v>大专</v>
      </c>
      <c r="I311" s="8" t="s">
        <v>16</v>
      </c>
    </row>
    <row r="312" spans="1:9" ht="24" customHeight="1">
      <c r="A312" s="5">
        <v>310</v>
      </c>
      <c r="B312" s="6" t="s">
        <v>27</v>
      </c>
      <c r="C312" s="6" t="str">
        <f>"陈换"</f>
        <v>陈换</v>
      </c>
      <c r="D312" s="6" t="str">
        <f t="shared" si="136"/>
        <v>女</v>
      </c>
      <c r="E312" s="6" t="str">
        <f>"1996-09-24"</f>
        <v>1996-09-24</v>
      </c>
      <c r="F312" s="6" t="str">
        <f>"黔东南民族职业技术学院"</f>
        <v>黔东南民族职业技术学院</v>
      </c>
      <c r="G312" s="6" t="str">
        <f aca="true" t="shared" si="143" ref="G312:G317">"护理"</f>
        <v>护理</v>
      </c>
      <c r="H312" s="6" t="str">
        <f t="shared" si="140"/>
        <v>大专</v>
      </c>
      <c r="I312" s="8" t="s">
        <v>12</v>
      </c>
    </row>
    <row r="313" spans="1:9" ht="24" customHeight="1">
      <c r="A313" s="5">
        <v>311</v>
      </c>
      <c r="B313" s="6" t="s">
        <v>27</v>
      </c>
      <c r="C313" s="6" t="str">
        <f>"符金竹"</f>
        <v>符金竹</v>
      </c>
      <c r="D313" s="6" t="str">
        <f t="shared" si="136"/>
        <v>女</v>
      </c>
      <c r="E313" s="6" t="str">
        <f>"1998-03-13"</f>
        <v>1998-03-13</v>
      </c>
      <c r="F313" s="6" t="str">
        <f>"山西医科大汾阳学院"</f>
        <v>山西医科大汾阳学院</v>
      </c>
      <c r="G313" s="6" t="str">
        <f aca="true" t="shared" si="144" ref="G313:G318">"护理学"</f>
        <v>护理学</v>
      </c>
      <c r="H313" s="6" t="str">
        <f t="shared" si="140"/>
        <v>大专</v>
      </c>
      <c r="I313" s="8" t="s">
        <v>16</v>
      </c>
    </row>
    <row r="314" spans="1:9" ht="24" customHeight="1">
      <c r="A314" s="5">
        <v>312</v>
      </c>
      <c r="B314" s="6" t="s">
        <v>27</v>
      </c>
      <c r="C314" s="6" t="str">
        <f>"吴婷婷"</f>
        <v>吴婷婷</v>
      </c>
      <c r="D314" s="6" t="str">
        <f t="shared" si="136"/>
        <v>女</v>
      </c>
      <c r="E314" s="6" t="str">
        <f>"1993-01-03"</f>
        <v>1993-01-03</v>
      </c>
      <c r="F314" s="6" t="str">
        <f>"海南医学院"</f>
        <v>海南医学院</v>
      </c>
      <c r="G314" s="6" t="str">
        <f t="shared" si="143"/>
        <v>护理</v>
      </c>
      <c r="H314" s="6" t="str">
        <f aca="true" t="shared" si="145" ref="H314:H318">"本科"</f>
        <v>本科</v>
      </c>
      <c r="I314" s="8" t="s">
        <v>12</v>
      </c>
    </row>
    <row r="315" spans="1:9" ht="24" customHeight="1">
      <c r="A315" s="5">
        <v>313</v>
      </c>
      <c r="B315" s="6" t="s">
        <v>27</v>
      </c>
      <c r="C315" s="6" t="str">
        <f>"赵娜秋"</f>
        <v>赵娜秋</v>
      </c>
      <c r="D315" s="6" t="str">
        <f t="shared" si="136"/>
        <v>女</v>
      </c>
      <c r="E315" s="6" t="str">
        <f>"1994-02-19"</f>
        <v>1994-02-19</v>
      </c>
      <c r="F315" s="6" t="str">
        <f>"湖北中医药高等专科学校"</f>
        <v>湖北中医药高等专科学校</v>
      </c>
      <c r="G315" s="6" t="str">
        <f t="shared" si="144"/>
        <v>护理学</v>
      </c>
      <c r="H315" s="6" t="str">
        <f aca="true" t="shared" si="146" ref="H315:H319">"大专"</f>
        <v>大专</v>
      </c>
      <c r="I315" s="8" t="s">
        <v>12</v>
      </c>
    </row>
    <row r="316" spans="1:9" ht="24" customHeight="1">
      <c r="A316" s="5">
        <v>314</v>
      </c>
      <c r="B316" s="6" t="s">
        <v>27</v>
      </c>
      <c r="C316" s="6" t="str">
        <f>"杨锦霞"</f>
        <v>杨锦霞</v>
      </c>
      <c r="D316" s="6" t="str">
        <f t="shared" si="136"/>
        <v>女</v>
      </c>
      <c r="E316" s="6" t="str">
        <f>"1996-02-22"</f>
        <v>1996-02-22</v>
      </c>
      <c r="F316" s="6" t="str">
        <f>"海南省医学院"</f>
        <v>海南省医学院</v>
      </c>
      <c r="G316" s="6" t="str">
        <f t="shared" si="143"/>
        <v>护理</v>
      </c>
      <c r="H316" s="6" t="str">
        <f t="shared" si="146"/>
        <v>大专</v>
      </c>
      <c r="I316" s="8" t="s">
        <v>12</v>
      </c>
    </row>
    <row r="317" spans="1:9" ht="24" customHeight="1">
      <c r="A317" s="5">
        <v>315</v>
      </c>
      <c r="B317" s="6" t="s">
        <v>27</v>
      </c>
      <c r="C317" s="6" t="str">
        <f>"何姿"</f>
        <v>何姿</v>
      </c>
      <c r="D317" s="6" t="str">
        <f t="shared" si="136"/>
        <v>女</v>
      </c>
      <c r="E317" s="6" t="str">
        <f>"1995-07-05"</f>
        <v>1995-07-05</v>
      </c>
      <c r="F317" s="6" t="str">
        <f>"海南医学院"</f>
        <v>海南医学院</v>
      </c>
      <c r="G317" s="6" t="str">
        <f t="shared" si="143"/>
        <v>护理</v>
      </c>
      <c r="H317" s="6" t="str">
        <f t="shared" si="145"/>
        <v>本科</v>
      </c>
      <c r="I317" s="8" t="s">
        <v>12</v>
      </c>
    </row>
    <row r="318" spans="1:9" ht="24" customHeight="1">
      <c r="A318" s="5">
        <v>316</v>
      </c>
      <c r="B318" s="6" t="s">
        <v>27</v>
      </c>
      <c r="C318" s="6" t="str">
        <f>"梁艳芳"</f>
        <v>梁艳芳</v>
      </c>
      <c r="D318" s="6" t="str">
        <f t="shared" si="136"/>
        <v>女</v>
      </c>
      <c r="E318" s="6" t="str">
        <f>"1993-05-08"</f>
        <v>1993-05-08</v>
      </c>
      <c r="F318" s="6" t="str">
        <f>"海南省医学院"</f>
        <v>海南省医学院</v>
      </c>
      <c r="G318" s="6" t="str">
        <f t="shared" si="144"/>
        <v>护理学</v>
      </c>
      <c r="H318" s="6" t="str">
        <f t="shared" si="145"/>
        <v>本科</v>
      </c>
      <c r="I318" s="8" t="s">
        <v>12</v>
      </c>
    </row>
    <row r="319" spans="1:9" ht="24" customHeight="1">
      <c r="A319" s="5">
        <v>317</v>
      </c>
      <c r="B319" s="6" t="s">
        <v>27</v>
      </c>
      <c r="C319" s="6" t="str">
        <f>"郭登玲"</f>
        <v>郭登玲</v>
      </c>
      <c r="D319" s="6" t="str">
        <f t="shared" si="136"/>
        <v>女</v>
      </c>
      <c r="E319" s="6" t="str">
        <f>"1997-01-14"</f>
        <v>1997-01-14</v>
      </c>
      <c r="F319" s="6" t="str">
        <f>"江西工商职业技术学院 "</f>
        <v>江西工商职业技术学院 </v>
      </c>
      <c r="G319" s="6" t="str">
        <f aca="true" t="shared" si="147" ref="G319:G325">"护理"</f>
        <v>护理</v>
      </c>
      <c r="H319" s="6" t="str">
        <f t="shared" si="146"/>
        <v>大专</v>
      </c>
      <c r="I319" s="8" t="s">
        <v>16</v>
      </c>
    </row>
    <row r="320" spans="1:9" ht="24" customHeight="1">
      <c r="A320" s="5">
        <v>318</v>
      </c>
      <c r="B320" s="6" t="s">
        <v>27</v>
      </c>
      <c r="C320" s="6" t="str">
        <f>"吴美波"</f>
        <v>吴美波</v>
      </c>
      <c r="D320" s="6" t="str">
        <f t="shared" si="136"/>
        <v>女</v>
      </c>
      <c r="E320" s="6" t="str">
        <f>"1997-12-23"</f>
        <v>1997-12-23</v>
      </c>
      <c r="F320" s="6" t="str">
        <f>"广州中医药大学"</f>
        <v>广州中医药大学</v>
      </c>
      <c r="G320" s="6" t="str">
        <f>"护理学"</f>
        <v>护理学</v>
      </c>
      <c r="H320" s="6" t="str">
        <f>"本科"</f>
        <v>本科</v>
      </c>
      <c r="I320" s="8" t="s">
        <v>16</v>
      </c>
    </row>
    <row r="321" spans="1:9" ht="24" customHeight="1">
      <c r="A321" s="5">
        <v>319</v>
      </c>
      <c r="B321" s="6" t="s">
        <v>27</v>
      </c>
      <c r="C321" s="6" t="str">
        <f>"谢本莹"</f>
        <v>谢本莹</v>
      </c>
      <c r="D321" s="6" t="str">
        <f t="shared" si="136"/>
        <v>女</v>
      </c>
      <c r="E321" s="6" t="str">
        <f>"1998-03-25"</f>
        <v>1998-03-25</v>
      </c>
      <c r="F321" s="6" t="str">
        <f>"海南科技职业大学"</f>
        <v>海南科技职业大学</v>
      </c>
      <c r="G321" s="6" t="str">
        <f t="shared" si="147"/>
        <v>护理</v>
      </c>
      <c r="H321" s="6" t="str">
        <f aca="true" t="shared" si="148" ref="H321:H330">"大专"</f>
        <v>大专</v>
      </c>
      <c r="I321" s="8" t="s">
        <v>16</v>
      </c>
    </row>
    <row r="322" spans="1:9" ht="24" customHeight="1">
      <c r="A322" s="5">
        <v>320</v>
      </c>
      <c r="B322" s="6" t="s">
        <v>27</v>
      </c>
      <c r="C322" s="6" t="str">
        <f>"欧锦会"</f>
        <v>欧锦会</v>
      </c>
      <c r="D322" s="6" t="str">
        <f t="shared" si="136"/>
        <v>女</v>
      </c>
      <c r="E322" s="6" t="str">
        <f>"1994-05-08"</f>
        <v>1994-05-08</v>
      </c>
      <c r="F322" s="6" t="str">
        <f aca="true" t="shared" si="149" ref="F322:F325">"海南医学院"</f>
        <v>海南医学院</v>
      </c>
      <c r="G322" s="6" t="str">
        <f t="shared" si="147"/>
        <v>护理</v>
      </c>
      <c r="H322" s="6" t="str">
        <f t="shared" si="148"/>
        <v>大专</v>
      </c>
      <c r="I322" s="8" t="s">
        <v>12</v>
      </c>
    </row>
    <row r="323" spans="1:9" ht="24" customHeight="1">
      <c r="A323" s="5">
        <v>321</v>
      </c>
      <c r="B323" s="6" t="s">
        <v>27</v>
      </c>
      <c r="C323" s="6" t="str">
        <f>"林昌娇"</f>
        <v>林昌娇</v>
      </c>
      <c r="D323" s="6" t="str">
        <f t="shared" si="136"/>
        <v>女</v>
      </c>
      <c r="E323" s="6" t="str">
        <f>"1998-06-13"</f>
        <v>1998-06-13</v>
      </c>
      <c r="F323" s="6" t="str">
        <f>"邢台医学高等专科学校"</f>
        <v>邢台医学高等专科学校</v>
      </c>
      <c r="G323" s="6" t="str">
        <f t="shared" si="147"/>
        <v>护理</v>
      </c>
      <c r="H323" s="6" t="str">
        <f t="shared" si="148"/>
        <v>大专</v>
      </c>
      <c r="I323" s="8" t="s">
        <v>16</v>
      </c>
    </row>
    <row r="324" spans="1:9" ht="24" customHeight="1">
      <c r="A324" s="5">
        <v>322</v>
      </c>
      <c r="B324" s="6" t="s">
        <v>27</v>
      </c>
      <c r="C324" s="6" t="str">
        <f>"许韵欣"</f>
        <v>许韵欣</v>
      </c>
      <c r="D324" s="6" t="str">
        <f t="shared" si="136"/>
        <v>女</v>
      </c>
      <c r="E324" s="6" t="str">
        <f>"1996-02-14"</f>
        <v>1996-02-14</v>
      </c>
      <c r="F324" s="6" t="str">
        <f t="shared" si="149"/>
        <v>海南医学院</v>
      </c>
      <c r="G324" s="6" t="str">
        <f t="shared" si="147"/>
        <v>护理</v>
      </c>
      <c r="H324" s="6" t="str">
        <f t="shared" si="148"/>
        <v>大专</v>
      </c>
      <c r="I324" s="8" t="s">
        <v>12</v>
      </c>
    </row>
    <row r="325" spans="1:9" ht="24" customHeight="1">
      <c r="A325" s="5">
        <v>323</v>
      </c>
      <c r="B325" s="6" t="s">
        <v>27</v>
      </c>
      <c r="C325" s="6" t="str">
        <f>"黄芳"</f>
        <v>黄芳</v>
      </c>
      <c r="D325" s="6" t="str">
        <f t="shared" si="136"/>
        <v>女</v>
      </c>
      <c r="E325" s="6" t="str">
        <f>"1993-10-24"</f>
        <v>1993-10-24</v>
      </c>
      <c r="F325" s="6" t="str">
        <f t="shared" si="149"/>
        <v>海南医学院</v>
      </c>
      <c r="G325" s="6" t="str">
        <f t="shared" si="147"/>
        <v>护理</v>
      </c>
      <c r="H325" s="6" t="str">
        <f t="shared" si="148"/>
        <v>大专</v>
      </c>
      <c r="I325" s="8" t="s">
        <v>12</v>
      </c>
    </row>
    <row r="326" spans="1:9" ht="24" customHeight="1">
      <c r="A326" s="5">
        <v>324</v>
      </c>
      <c r="B326" s="6" t="s">
        <v>27</v>
      </c>
      <c r="C326" s="6" t="str">
        <f>"温小燕"</f>
        <v>温小燕</v>
      </c>
      <c r="D326" s="6" t="str">
        <f t="shared" si="136"/>
        <v>女</v>
      </c>
      <c r="E326" s="6" t="str">
        <f>"1996-07-24"</f>
        <v>1996-07-24</v>
      </c>
      <c r="F326" s="6" t="str">
        <f>"长沙医学院"</f>
        <v>长沙医学院</v>
      </c>
      <c r="G326" s="6" t="str">
        <f aca="true" t="shared" si="150" ref="G326:G331">"护理学"</f>
        <v>护理学</v>
      </c>
      <c r="H326" s="6" t="str">
        <f t="shared" si="148"/>
        <v>大专</v>
      </c>
      <c r="I326" s="8" t="s">
        <v>12</v>
      </c>
    </row>
    <row r="327" spans="1:9" ht="24" customHeight="1">
      <c r="A327" s="5">
        <v>325</v>
      </c>
      <c r="B327" s="6" t="s">
        <v>27</v>
      </c>
      <c r="C327" s="6" t="str">
        <f>"韩博妍"</f>
        <v>韩博妍</v>
      </c>
      <c r="D327" s="6" t="str">
        <f t="shared" si="136"/>
        <v>女</v>
      </c>
      <c r="E327" s="6" t="str">
        <f>"1998-02-22"</f>
        <v>1998-02-22</v>
      </c>
      <c r="F327" s="6" t="str">
        <f>"江西工商职业技术学院"</f>
        <v>江西工商职业技术学院</v>
      </c>
      <c r="G327" s="6" t="str">
        <f t="shared" si="150"/>
        <v>护理学</v>
      </c>
      <c r="H327" s="6" t="str">
        <f t="shared" si="148"/>
        <v>大专</v>
      </c>
      <c r="I327" s="8" t="s">
        <v>16</v>
      </c>
    </row>
    <row r="328" spans="1:9" ht="24" customHeight="1">
      <c r="A328" s="5">
        <v>326</v>
      </c>
      <c r="B328" s="6" t="s">
        <v>27</v>
      </c>
      <c r="C328" s="6" t="str">
        <f>"陈隆梅"</f>
        <v>陈隆梅</v>
      </c>
      <c r="D328" s="6" t="str">
        <f t="shared" si="136"/>
        <v>女</v>
      </c>
      <c r="E328" s="6" t="str">
        <f>"1997-01-17"</f>
        <v>1997-01-17</v>
      </c>
      <c r="F328" s="6" t="str">
        <f aca="true" t="shared" si="151" ref="F328:F332">"海南医学院"</f>
        <v>海南医学院</v>
      </c>
      <c r="G328" s="6" t="str">
        <f aca="true" t="shared" si="152" ref="G328:G333">"护理"</f>
        <v>护理</v>
      </c>
      <c r="H328" s="6" t="str">
        <f t="shared" si="148"/>
        <v>大专</v>
      </c>
      <c r="I328" s="8" t="s">
        <v>12</v>
      </c>
    </row>
    <row r="329" spans="1:9" ht="24" customHeight="1">
      <c r="A329" s="5">
        <v>327</v>
      </c>
      <c r="B329" s="6" t="s">
        <v>27</v>
      </c>
      <c r="C329" s="6" t="str">
        <f>"邓秋叶"</f>
        <v>邓秋叶</v>
      </c>
      <c r="D329" s="6" t="str">
        <f t="shared" si="136"/>
        <v>女</v>
      </c>
      <c r="E329" s="6" t="str">
        <f>"1999-03-21"</f>
        <v>1999-03-21</v>
      </c>
      <c r="F329" s="6" t="str">
        <f>"湖北职业技术学院"</f>
        <v>湖北职业技术学院</v>
      </c>
      <c r="G329" s="6" t="str">
        <f t="shared" si="152"/>
        <v>护理</v>
      </c>
      <c r="H329" s="6" t="str">
        <f t="shared" si="148"/>
        <v>大专</v>
      </c>
      <c r="I329" s="8" t="s">
        <v>16</v>
      </c>
    </row>
    <row r="330" spans="1:9" ht="24" customHeight="1">
      <c r="A330" s="5">
        <v>328</v>
      </c>
      <c r="B330" s="6" t="s">
        <v>27</v>
      </c>
      <c r="C330" s="6" t="str">
        <f>"郑菊"</f>
        <v>郑菊</v>
      </c>
      <c r="D330" s="6" t="str">
        <f t="shared" si="136"/>
        <v>女</v>
      </c>
      <c r="E330" s="6" t="str">
        <f>"1997-09-16"</f>
        <v>1997-09-16</v>
      </c>
      <c r="F330" s="6" t="str">
        <f t="shared" si="151"/>
        <v>海南医学院</v>
      </c>
      <c r="G330" s="6" t="str">
        <f t="shared" si="150"/>
        <v>护理学</v>
      </c>
      <c r="H330" s="6" t="str">
        <f t="shared" si="148"/>
        <v>大专</v>
      </c>
      <c r="I330" s="8" t="s">
        <v>12</v>
      </c>
    </row>
    <row r="331" spans="1:9" ht="24" customHeight="1">
      <c r="A331" s="5">
        <v>329</v>
      </c>
      <c r="B331" s="6" t="s">
        <v>27</v>
      </c>
      <c r="C331" s="6" t="str">
        <f>"李霞灵"</f>
        <v>李霞灵</v>
      </c>
      <c r="D331" s="6" t="str">
        <f t="shared" si="136"/>
        <v>女</v>
      </c>
      <c r="E331" s="6" t="str">
        <f>"1994-08-24"</f>
        <v>1994-08-24</v>
      </c>
      <c r="F331" s="6" t="str">
        <f>"山西医科大学汾阳学院"</f>
        <v>山西医科大学汾阳学院</v>
      </c>
      <c r="G331" s="6" t="str">
        <f t="shared" si="150"/>
        <v>护理学</v>
      </c>
      <c r="H331" s="6" t="str">
        <f>"本科"</f>
        <v>本科</v>
      </c>
      <c r="I331" s="8" t="s">
        <v>12</v>
      </c>
    </row>
    <row r="332" spans="1:9" ht="24" customHeight="1">
      <c r="A332" s="5">
        <v>330</v>
      </c>
      <c r="B332" s="6" t="s">
        <v>27</v>
      </c>
      <c r="C332" s="6" t="str">
        <f>"符允婷"</f>
        <v>符允婷</v>
      </c>
      <c r="D332" s="6" t="str">
        <f t="shared" si="136"/>
        <v>女</v>
      </c>
      <c r="E332" s="6" t="str">
        <f>"1997-08-02"</f>
        <v>1997-08-02</v>
      </c>
      <c r="F332" s="6" t="str">
        <f t="shared" si="151"/>
        <v>海南医学院</v>
      </c>
      <c r="G332" s="6" t="str">
        <f t="shared" si="152"/>
        <v>护理</v>
      </c>
      <c r="H332" s="6" t="str">
        <f aca="true" t="shared" si="153" ref="H332:H341">"大专"</f>
        <v>大专</v>
      </c>
      <c r="I332" s="8" t="s">
        <v>12</v>
      </c>
    </row>
    <row r="333" spans="1:9" ht="24" customHeight="1">
      <c r="A333" s="5">
        <v>331</v>
      </c>
      <c r="B333" s="6" t="s">
        <v>27</v>
      </c>
      <c r="C333" s="6" t="str">
        <f>"林云烩"</f>
        <v>林云烩</v>
      </c>
      <c r="D333" s="6" t="str">
        <f t="shared" si="136"/>
        <v>女</v>
      </c>
      <c r="E333" s="6" t="str">
        <f>"1999-08-04"</f>
        <v>1999-08-04</v>
      </c>
      <c r="F333" s="6" t="str">
        <f>"海南科技职业大学"</f>
        <v>海南科技职业大学</v>
      </c>
      <c r="G333" s="6" t="str">
        <f t="shared" si="152"/>
        <v>护理</v>
      </c>
      <c r="H333" s="6" t="str">
        <f t="shared" si="153"/>
        <v>大专</v>
      </c>
      <c r="I333" s="8" t="s">
        <v>16</v>
      </c>
    </row>
    <row r="334" spans="1:9" ht="24" customHeight="1">
      <c r="A334" s="5">
        <v>332</v>
      </c>
      <c r="B334" s="6" t="s">
        <v>27</v>
      </c>
      <c r="C334" s="6" t="str">
        <f>"朱小敏"</f>
        <v>朱小敏</v>
      </c>
      <c r="D334" s="6" t="str">
        <f t="shared" si="136"/>
        <v>女</v>
      </c>
      <c r="E334" s="6" t="str">
        <f>"1995-06-08"</f>
        <v>1995-06-08</v>
      </c>
      <c r="F334" s="6" t="str">
        <f aca="true" t="shared" si="154" ref="F334:F338">"海南医学院"</f>
        <v>海南医学院</v>
      </c>
      <c r="G334" s="6" t="str">
        <f>"护理学"</f>
        <v>护理学</v>
      </c>
      <c r="H334" s="6" t="str">
        <f>"本科"</f>
        <v>本科</v>
      </c>
      <c r="I334" s="8" t="s">
        <v>12</v>
      </c>
    </row>
    <row r="335" spans="1:9" ht="24" customHeight="1">
      <c r="A335" s="5">
        <v>333</v>
      </c>
      <c r="B335" s="6" t="s">
        <v>27</v>
      </c>
      <c r="C335" s="6" t="str">
        <f>"罗旋"</f>
        <v>罗旋</v>
      </c>
      <c r="D335" s="6" t="str">
        <f t="shared" si="136"/>
        <v>女</v>
      </c>
      <c r="E335" s="6" t="str">
        <f>"1992-12-13"</f>
        <v>1992-12-13</v>
      </c>
      <c r="F335" s="6" t="str">
        <f>"乐山职业技术学院"</f>
        <v>乐山职业技术学院</v>
      </c>
      <c r="G335" s="6" t="str">
        <f>"护理学"</f>
        <v>护理学</v>
      </c>
      <c r="H335" s="6" t="str">
        <f t="shared" si="153"/>
        <v>大专</v>
      </c>
      <c r="I335" s="8" t="s">
        <v>12</v>
      </c>
    </row>
    <row r="336" spans="1:9" ht="24" customHeight="1">
      <c r="A336" s="5">
        <v>334</v>
      </c>
      <c r="B336" s="6" t="s">
        <v>27</v>
      </c>
      <c r="C336" s="6" t="str">
        <f>"黄才红"</f>
        <v>黄才红</v>
      </c>
      <c r="D336" s="6" t="str">
        <f t="shared" si="136"/>
        <v>女</v>
      </c>
      <c r="E336" s="6" t="str">
        <f>"1994-08-24"</f>
        <v>1994-08-24</v>
      </c>
      <c r="F336" s="6" t="str">
        <f t="shared" si="154"/>
        <v>海南医学院</v>
      </c>
      <c r="G336" s="6" t="str">
        <f aca="true" t="shared" si="155" ref="G336:G341">"护理"</f>
        <v>护理</v>
      </c>
      <c r="H336" s="6" t="str">
        <f t="shared" si="153"/>
        <v>大专</v>
      </c>
      <c r="I336" s="8" t="s">
        <v>12</v>
      </c>
    </row>
    <row r="337" spans="1:9" ht="24" customHeight="1">
      <c r="A337" s="5">
        <v>335</v>
      </c>
      <c r="B337" s="6" t="s">
        <v>27</v>
      </c>
      <c r="C337" s="6" t="str">
        <f>"梁燕"</f>
        <v>梁燕</v>
      </c>
      <c r="D337" s="6" t="str">
        <f t="shared" si="136"/>
        <v>女</v>
      </c>
      <c r="E337" s="6" t="str">
        <f>"1998-03-15"</f>
        <v>1998-03-15</v>
      </c>
      <c r="F337" s="6" t="str">
        <f>"海南科技职业大学"</f>
        <v>海南科技职业大学</v>
      </c>
      <c r="G337" s="6" t="str">
        <f t="shared" si="155"/>
        <v>护理</v>
      </c>
      <c r="H337" s="6" t="str">
        <f t="shared" si="153"/>
        <v>大专</v>
      </c>
      <c r="I337" s="8" t="s">
        <v>12</v>
      </c>
    </row>
    <row r="338" spans="1:9" ht="24" customHeight="1">
      <c r="A338" s="5">
        <v>336</v>
      </c>
      <c r="B338" s="6" t="s">
        <v>27</v>
      </c>
      <c r="C338" s="6" t="str">
        <f>"许小鹏"</f>
        <v>许小鹏</v>
      </c>
      <c r="D338" s="6" t="str">
        <f t="shared" si="136"/>
        <v>女</v>
      </c>
      <c r="E338" s="6" t="str">
        <f>"1998-10-01"</f>
        <v>1998-10-01</v>
      </c>
      <c r="F338" s="6" t="str">
        <f t="shared" si="154"/>
        <v>海南医学院</v>
      </c>
      <c r="G338" s="6" t="str">
        <f t="shared" si="155"/>
        <v>护理</v>
      </c>
      <c r="H338" s="6" t="str">
        <f t="shared" si="153"/>
        <v>大专</v>
      </c>
      <c r="I338" s="8" t="s">
        <v>12</v>
      </c>
    </row>
    <row r="339" spans="1:9" ht="24" customHeight="1">
      <c r="A339" s="5">
        <v>337</v>
      </c>
      <c r="B339" s="6" t="s">
        <v>27</v>
      </c>
      <c r="C339" s="6" t="str">
        <f>"郭健雄"</f>
        <v>郭健雄</v>
      </c>
      <c r="D339" s="6" t="str">
        <f>"男"</f>
        <v>男</v>
      </c>
      <c r="E339" s="6" t="str">
        <f>"1996-05-19"</f>
        <v>1996-05-19</v>
      </c>
      <c r="F339" s="6" t="str">
        <f>"海南科技职业大学"</f>
        <v>海南科技职业大学</v>
      </c>
      <c r="G339" s="6" t="str">
        <f t="shared" si="155"/>
        <v>护理</v>
      </c>
      <c r="H339" s="6" t="str">
        <f t="shared" si="153"/>
        <v>大专</v>
      </c>
      <c r="I339" s="8" t="s">
        <v>12</v>
      </c>
    </row>
    <row r="340" spans="1:9" ht="24" customHeight="1">
      <c r="A340" s="5">
        <v>338</v>
      </c>
      <c r="B340" s="6" t="s">
        <v>27</v>
      </c>
      <c r="C340" s="6" t="str">
        <f>"卢定红"</f>
        <v>卢定红</v>
      </c>
      <c r="D340" s="6" t="str">
        <f aca="true" t="shared" si="156" ref="D340:D359">"女"</f>
        <v>女</v>
      </c>
      <c r="E340" s="6" t="str">
        <f>"1999-08-02"</f>
        <v>1999-08-02</v>
      </c>
      <c r="F340" s="6" t="str">
        <f>"广西科技大学"</f>
        <v>广西科技大学</v>
      </c>
      <c r="G340" s="6" t="str">
        <f t="shared" si="155"/>
        <v>护理</v>
      </c>
      <c r="H340" s="6" t="str">
        <f t="shared" si="153"/>
        <v>大专</v>
      </c>
      <c r="I340" s="8" t="s">
        <v>16</v>
      </c>
    </row>
    <row r="341" spans="1:9" ht="24" customHeight="1">
      <c r="A341" s="5">
        <v>339</v>
      </c>
      <c r="B341" s="6" t="s">
        <v>27</v>
      </c>
      <c r="C341" s="6" t="str">
        <f>"李精带"</f>
        <v>李精带</v>
      </c>
      <c r="D341" s="6" t="str">
        <f t="shared" si="156"/>
        <v>女</v>
      </c>
      <c r="E341" s="6" t="str">
        <f>"1996-10-23"</f>
        <v>1996-10-23</v>
      </c>
      <c r="F341" s="6" t="str">
        <f>"湖北三峡职业技术学院"</f>
        <v>湖北三峡职业技术学院</v>
      </c>
      <c r="G341" s="6" t="str">
        <f t="shared" si="155"/>
        <v>护理</v>
      </c>
      <c r="H341" s="6" t="str">
        <f t="shared" si="153"/>
        <v>大专</v>
      </c>
      <c r="I341" s="8" t="s">
        <v>16</v>
      </c>
    </row>
    <row r="342" spans="1:9" ht="24" customHeight="1">
      <c r="A342" s="5">
        <v>340</v>
      </c>
      <c r="B342" s="6" t="s">
        <v>27</v>
      </c>
      <c r="C342" s="6" t="str">
        <f>"苏光妮"</f>
        <v>苏光妮</v>
      </c>
      <c r="D342" s="6" t="str">
        <f t="shared" si="156"/>
        <v>女</v>
      </c>
      <c r="E342" s="6" t="str">
        <f>"1997-10-14"</f>
        <v>1997-10-14</v>
      </c>
      <c r="F342" s="6" t="str">
        <f>"齐鲁医药学院"</f>
        <v>齐鲁医药学院</v>
      </c>
      <c r="G342" s="6" t="str">
        <f>"护理学"</f>
        <v>护理学</v>
      </c>
      <c r="H342" s="6" t="str">
        <f>"本科"</f>
        <v>本科</v>
      </c>
      <c r="I342" s="8" t="s">
        <v>16</v>
      </c>
    </row>
    <row r="343" spans="1:9" ht="24" customHeight="1">
      <c r="A343" s="5">
        <v>341</v>
      </c>
      <c r="B343" s="6" t="s">
        <v>27</v>
      </c>
      <c r="C343" s="6" t="str">
        <f>"王如妹"</f>
        <v>王如妹</v>
      </c>
      <c r="D343" s="6" t="str">
        <f t="shared" si="156"/>
        <v>女</v>
      </c>
      <c r="E343" s="6" t="str">
        <f>"1993-02-05"</f>
        <v>1993-02-05</v>
      </c>
      <c r="F343" s="6" t="str">
        <f>"海南科技职业学院"</f>
        <v>海南科技职业学院</v>
      </c>
      <c r="G343" s="6" t="str">
        <f>"护理学"</f>
        <v>护理学</v>
      </c>
      <c r="H343" s="6" t="str">
        <f aca="true" t="shared" si="157" ref="H343:H348">"大专"</f>
        <v>大专</v>
      </c>
      <c r="I343" s="8" t="s">
        <v>12</v>
      </c>
    </row>
    <row r="344" spans="1:9" ht="24" customHeight="1">
      <c r="A344" s="5">
        <v>342</v>
      </c>
      <c r="B344" s="6" t="s">
        <v>27</v>
      </c>
      <c r="C344" s="6" t="str">
        <f>"王燕飞"</f>
        <v>王燕飞</v>
      </c>
      <c r="D344" s="6" t="str">
        <f t="shared" si="156"/>
        <v>女</v>
      </c>
      <c r="E344" s="6" t="str">
        <f>"1997-06-15"</f>
        <v>1997-06-15</v>
      </c>
      <c r="F344" s="6" t="str">
        <f>"海南省卫生学校"</f>
        <v>海南省卫生学校</v>
      </c>
      <c r="G344" s="6" t="str">
        <f aca="true" t="shared" si="158" ref="G344:G353">"护理"</f>
        <v>护理</v>
      </c>
      <c r="H344" s="6" t="str">
        <f t="shared" si="157"/>
        <v>大专</v>
      </c>
      <c r="I344" s="8" t="s">
        <v>12</v>
      </c>
    </row>
    <row r="345" spans="1:9" ht="24" customHeight="1">
      <c r="A345" s="5">
        <v>343</v>
      </c>
      <c r="B345" s="6" t="s">
        <v>27</v>
      </c>
      <c r="C345" s="6" t="str">
        <f>"吴倩瑜"</f>
        <v>吴倩瑜</v>
      </c>
      <c r="D345" s="6" t="str">
        <f t="shared" si="156"/>
        <v>女</v>
      </c>
      <c r="E345" s="6" t="str">
        <f>"2001-04-04"</f>
        <v>2001-04-04</v>
      </c>
      <c r="F345" s="6" t="str">
        <f aca="true" t="shared" si="159" ref="F345:F348">"海南医学院"</f>
        <v>海南医学院</v>
      </c>
      <c r="G345" s="6" t="str">
        <f>"护理专业"</f>
        <v>护理专业</v>
      </c>
      <c r="H345" s="6" t="str">
        <f t="shared" si="157"/>
        <v>大专</v>
      </c>
      <c r="I345" s="8" t="s">
        <v>12</v>
      </c>
    </row>
    <row r="346" spans="1:9" ht="24" customHeight="1">
      <c r="A346" s="5">
        <v>344</v>
      </c>
      <c r="B346" s="6" t="s">
        <v>27</v>
      </c>
      <c r="C346" s="6" t="str">
        <f>"王海萍"</f>
        <v>王海萍</v>
      </c>
      <c r="D346" s="6" t="str">
        <f t="shared" si="156"/>
        <v>女</v>
      </c>
      <c r="E346" s="6" t="str">
        <f>"1997-07-13"</f>
        <v>1997-07-13</v>
      </c>
      <c r="F346" s="6" t="str">
        <f t="shared" si="159"/>
        <v>海南医学院</v>
      </c>
      <c r="G346" s="6" t="str">
        <f t="shared" si="158"/>
        <v>护理</v>
      </c>
      <c r="H346" s="6" t="str">
        <f t="shared" si="157"/>
        <v>大专</v>
      </c>
      <c r="I346" s="8" t="s">
        <v>12</v>
      </c>
    </row>
    <row r="347" spans="1:9" ht="24" customHeight="1">
      <c r="A347" s="5">
        <v>345</v>
      </c>
      <c r="B347" s="6" t="s">
        <v>27</v>
      </c>
      <c r="C347" s="6" t="str">
        <f>"高海秀"</f>
        <v>高海秀</v>
      </c>
      <c r="D347" s="6" t="str">
        <f t="shared" si="156"/>
        <v>女</v>
      </c>
      <c r="E347" s="6" t="str">
        <f>"1994-02"</f>
        <v>1994-02</v>
      </c>
      <c r="F347" s="6" t="str">
        <f t="shared" si="159"/>
        <v>海南医学院</v>
      </c>
      <c r="G347" s="6" t="str">
        <f>"护理专业"</f>
        <v>护理专业</v>
      </c>
      <c r="H347" s="6" t="str">
        <f t="shared" si="157"/>
        <v>大专</v>
      </c>
      <c r="I347" s="8" t="s">
        <v>12</v>
      </c>
    </row>
    <row r="348" spans="1:9" ht="24" customHeight="1">
      <c r="A348" s="5">
        <v>346</v>
      </c>
      <c r="B348" s="6" t="s">
        <v>27</v>
      </c>
      <c r="C348" s="6" t="str">
        <f>"黎昌暧"</f>
        <v>黎昌暧</v>
      </c>
      <c r="D348" s="6" t="str">
        <f t="shared" si="156"/>
        <v>女</v>
      </c>
      <c r="E348" s="6" t="str">
        <f>"1993-10-19"</f>
        <v>1993-10-19</v>
      </c>
      <c r="F348" s="6" t="str">
        <f t="shared" si="159"/>
        <v>海南医学院</v>
      </c>
      <c r="G348" s="6" t="str">
        <f>"护理学"</f>
        <v>护理学</v>
      </c>
      <c r="H348" s="6" t="str">
        <f t="shared" si="157"/>
        <v>大专</v>
      </c>
      <c r="I348" s="8" t="s">
        <v>12</v>
      </c>
    </row>
    <row r="349" spans="1:9" ht="24" customHeight="1">
      <c r="A349" s="5">
        <v>347</v>
      </c>
      <c r="B349" s="6" t="s">
        <v>27</v>
      </c>
      <c r="C349" s="6" t="str">
        <f>"洪玉妹"</f>
        <v>洪玉妹</v>
      </c>
      <c r="D349" s="6" t="str">
        <f t="shared" si="156"/>
        <v>女</v>
      </c>
      <c r="E349" s="6" t="str">
        <f>"1997-06-06"</f>
        <v>1997-06-06</v>
      </c>
      <c r="F349" s="6" t="str">
        <f>"蚌埠医学院"</f>
        <v>蚌埠医学院</v>
      </c>
      <c r="G349" s="6" t="str">
        <f t="shared" si="158"/>
        <v>护理</v>
      </c>
      <c r="H349" s="6" t="str">
        <f>"本科"</f>
        <v>本科</v>
      </c>
      <c r="I349" s="8" t="s">
        <v>16</v>
      </c>
    </row>
    <row r="350" spans="1:9" ht="24" customHeight="1">
      <c r="A350" s="5">
        <v>348</v>
      </c>
      <c r="B350" s="6" t="s">
        <v>27</v>
      </c>
      <c r="C350" s="6" t="str">
        <f>"吴容丽"</f>
        <v>吴容丽</v>
      </c>
      <c r="D350" s="6" t="str">
        <f t="shared" si="156"/>
        <v>女</v>
      </c>
      <c r="E350" s="6" t="str">
        <f>"1994-02-20"</f>
        <v>1994-02-20</v>
      </c>
      <c r="F350" s="6" t="str">
        <f aca="true" t="shared" si="160" ref="F350:F352">"海南医学院"</f>
        <v>海南医学院</v>
      </c>
      <c r="G350" s="6" t="str">
        <f t="shared" si="158"/>
        <v>护理</v>
      </c>
      <c r="H350" s="6" t="str">
        <f aca="true" t="shared" si="161" ref="H350:H355">"大专"</f>
        <v>大专</v>
      </c>
      <c r="I350" s="8" t="s">
        <v>12</v>
      </c>
    </row>
    <row r="351" spans="1:9" ht="24" customHeight="1">
      <c r="A351" s="5">
        <v>349</v>
      </c>
      <c r="B351" s="6" t="s">
        <v>27</v>
      </c>
      <c r="C351" s="6" t="str">
        <f>"卢运瑛"</f>
        <v>卢运瑛</v>
      </c>
      <c r="D351" s="6" t="str">
        <f t="shared" si="156"/>
        <v>女</v>
      </c>
      <c r="E351" s="6" t="str">
        <f>"1996-04-10"</f>
        <v>1996-04-10</v>
      </c>
      <c r="F351" s="6" t="str">
        <f t="shared" si="160"/>
        <v>海南医学院</v>
      </c>
      <c r="G351" s="6" t="str">
        <f t="shared" si="158"/>
        <v>护理</v>
      </c>
      <c r="H351" s="6" t="str">
        <f t="shared" si="161"/>
        <v>大专</v>
      </c>
      <c r="I351" s="8" t="s">
        <v>12</v>
      </c>
    </row>
    <row r="352" spans="1:9" ht="24" customHeight="1">
      <c r="A352" s="5">
        <v>350</v>
      </c>
      <c r="B352" s="6" t="s">
        <v>27</v>
      </c>
      <c r="C352" s="6" t="str">
        <f>"曾娟女"</f>
        <v>曾娟女</v>
      </c>
      <c r="D352" s="6" t="str">
        <f t="shared" si="156"/>
        <v>女</v>
      </c>
      <c r="E352" s="6" t="str">
        <f>"1999-12-27"</f>
        <v>1999-12-27</v>
      </c>
      <c r="F352" s="6" t="str">
        <f t="shared" si="160"/>
        <v>海南医学院</v>
      </c>
      <c r="G352" s="6" t="str">
        <f t="shared" si="158"/>
        <v>护理</v>
      </c>
      <c r="H352" s="6" t="str">
        <f t="shared" si="161"/>
        <v>大专</v>
      </c>
      <c r="I352" s="8" t="s">
        <v>16</v>
      </c>
    </row>
    <row r="353" spans="1:9" ht="24" customHeight="1">
      <c r="A353" s="5">
        <v>351</v>
      </c>
      <c r="B353" s="6" t="s">
        <v>27</v>
      </c>
      <c r="C353" s="6" t="str">
        <f>"侯道珺"</f>
        <v>侯道珺</v>
      </c>
      <c r="D353" s="6" t="str">
        <f t="shared" si="156"/>
        <v>女</v>
      </c>
      <c r="E353" s="6" t="str">
        <f>"1993-11-09"</f>
        <v>1993-11-09</v>
      </c>
      <c r="F353" s="6" t="str">
        <f>"海南省农垦卫生学校"</f>
        <v>海南省农垦卫生学校</v>
      </c>
      <c r="G353" s="6" t="str">
        <f t="shared" si="158"/>
        <v>护理</v>
      </c>
      <c r="H353" s="6" t="str">
        <f t="shared" si="161"/>
        <v>大专</v>
      </c>
      <c r="I353" s="8" t="s">
        <v>12</v>
      </c>
    </row>
    <row r="354" spans="1:9" ht="24" customHeight="1">
      <c r="A354" s="5">
        <v>352</v>
      </c>
      <c r="B354" s="6" t="s">
        <v>27</v>
      </c>
      <c r="C354" s="6" t="str">
        <f>"吴兰芳"</f>
        <v>吴兰芳</v>
      </c>
      <c r="D354" s="6" t="str">
        <f t="shared" si="156"/>
        <v>女</v>
      </c>
      <c r="E354" s="6" t="str">
        <f>"1998-05-22"</f>
        <v>1998-05-22</v>
      </c>
      <c r="F354" s="6" t="str">
        <f aca="true" t="shared" si="162" ref="F354:F357">"海南医学院"</f>
        <v>海南医学院</v>
      </c>
      <c r="G354" s="6" t="str">
        <f aca="true" t="shared" si="163" ref="G354:G361">"护理学"</f>
        <v>护理学</v>
      </c>
      <c r="H354" s="6" t="str">
        <f t="shared" si="161"/>
        <v>大专</v>
      </c>
      <c r="I354" s="8" t="s">
        <v>16</v>
      </c>
    </row>
    <row r="355" spans="1:9" ht="24" customHeight="1">
      <c r="A355" s="5">
        <v>353</v>
      </c>
      <c r="B355" s="6" t="s">
        <v>27</v>
      </c>
      <c r="C355" s="6" t="str">
        <f>"林丽梦"</f>
        <v>林丽梦</v>
      </c>
      <c r="D355" s="6" t="str">
        <f t="shared" si="156"/>
        <v>女</v>
      </c>
      <c r="E355" s="6" t="str">
        <f>"1998-03-29"</f>
        <v>1998-03-29</v>
      </c>
      <c r="F355" s="6" t="str">
        <f t="shared" si="162"/>
        <v>海南医学院</v>
      </c>
      <c r="G355" s="6" t="str">
        <f>"护理专业"</f>
        <v>护理专业</v>
      </c>
      <c r="H355" s="6" t="str">
        <f t="shared" si="161"/>
        <v>大专</v>
      </c>
      <c r="I355" s="8" t="s">
        <v>12</v>
      </c>
    </row>
    <row r="356" spans="1:9" ht="24" customHeight="1">
      <c r="A356" s="5">
        <v>354</v>
      </c>
      <c r="B356" s="6" t="s">
        <v>27</v>
      </c>
      <c r="C356" s="6" t="str">
        <f>"陈送丽"</f>
        <v>陈送丽</v>
      </c>
      <c r="D356" s="6" t="str">
        <f t="shared" si="156"/>
        <v>女</v>
      </c>
      <c r="E356" s="6" t="str">
        <f>"1996-06-17"</f>
        <v>1996-06-17</v>
      </c>
      <c r="F356" s="6" t="str">
        <f>"东北师范大学人文学院"</f>
        <v>东北师范大学人文学院</v>
      </c>
      <c r="G356" s="6" t="str">
        <f t="shared" si="163"/>
        <v>护理学</v>
      </c>
      <c r="H356" s="6" t="str">
        <f aca="true" t="shared" si="164" ref="H356:H361">"本科"</f>
        <v>本科</v>
      </c>
      <c r="I356" s="8" t="s">
        <v>12</v>
      </c>
    </row>
    <row r="357" spans="1:9" ht="24" customHeight="1">
      <c r="A357" s="5">
        <v>355</v>
      </c>
      <c r="B357" s="6" t="s">
        <v>27</v>
      </c>
      <c r="C357" s="6" t="str">
        <f>"谢少凡"</f>
        <v>谢少凡</v>
      </c>
      <c r="D357" s="6" t="str">
        <f t="shared" si="156"/>
        <v>女</v>
      </c>
      <c r="E357" s="6" t="str">
        <f>"1997-06-06"</f>
        <v>1997-06-06</v>
      </c>
      <c r="F357" s="6" t="str">
        <f t="shared" si="162"/>
        <v>海南医学院</v>
      </c>
      <c r="G357" s="6" t="str">
        <f aca="true" t="shared" si="165" ref="G357:G362">"护理"</f>
        <v>护理</v>
      </c>
      <c r="H357" s="6" t="str">
        <f aca="true" t="shared" si="166" ref="H357:H360">"大专"</f>
        <v>大专</v>
      </c>
      <c r="I357" s="8" t="s">
        <v>12</v>
      </c>
    </row>
    <row r="358" spans="1:9" ht="24" customHeight="1">
      <c r="A358" s="5">
        <v>356</v>
      </c>
      <c r="B358" s="6" t="s">
        <v>27</v>
      </c>
      <c r="C358" s="6" t="str">
        <f>"李珊珊"</f>
        <v>李珊珊</v>
      </c>
      <c r="D358" s="6" t="str">
        <f t="shared" si="156"/>
        <v>女</v>
      </c>
      <c r="E358" s="6" t="str">
        <f>"1997-12-10"</f>
        <v>1997-12-10</v>
      </c>
      <c r="F358" s="6" t="str">
        <f>"海南科技职业大学"</f>
        <v>海南科技职业大学</v>
      </c>
      <c r="G358" s="6" t="str">
        <f t="shared" si="165"/>
        <v>护理</v>
      </c>
      <c r="H358" s="6" t="str">
        <f t="shared" si="166"/>
        <v>大专</v>
      </c>
      <c r="I358" s="8" t="s">
        <v>16</v>
      </c>
    </row>
    <row r="359" spans="1:9" ht="24" customHeight="1">
      <c r="A359" s="5">
        <v>357</v>
      </c>
      <c r="B359" s="6" t="s">
        <v>27</v>
      </c>
      <c r="C359" s="6" t="str">
        <f>"张爱"</f>
        <v>张爱</v>
      </c>
      <c r="D359" s="6" t="str">
        <f t="shared" si="156"/>
        <v>女</v>
      </c>
      <c r="E359" s="6" t="str">
        <f>"1996-11-05"</f>
        <v>1996-11-05</v>
      </c>
      <c r="F359" s="6" t="str">
        <f>"滨州医学院"</f>
        <v>滨州医学院</v>
      </c>
      <c r="G359" s="6" t="str">
        <f t="shared" si="163"/>
        <v>护理学</v>
      </c>
      <c r="H359" s="6" t="str">
        <f t="shared" si="164"/>
        <v>本科</v>
      </c>
      <c r="I359" s="8" t="s">
        <v>16</v>
      </c>
    </row>
    <row r="360" spans="1:9" ht="24" customHeight="1">
      <c r="A360" s="5">
        <v>358</v>
      </c>
      <c r="B360" s="6" t="s">
        <v>27</v>
      </c>
      <c r="C360" s="6" t="str">
        <f>"王华裕"</f>
        <v>王华裕</v>
      </c>
      <c r="D360" s="6" t="str">
        <f>"男"</f>
        <v>男</v>
      </c>
      <c r="E360" s="6" t="str">
        <f>"1999-10-04"</f>
        <v>1999-10-04</v>
      </c>
      <c r="F360" s="6" t="str">
        <f>"海南医学院"</f>
        <v>海南医学院</v>
      </c>
      <c r="G360" s="6" t="str">
        <f t="shared" si="163"/>
        <v>护理学</v>
      </c>
      <c r="H360" s="6" t="str">
        <f t="shared" si="166"/>
        <v>大专</v>
      </c>
      <c r="I360" s="8" t="s">
        <v>12</v>
      </c>
    </row>
    <row r="361" spans="1:9" ht="24" customHeight="1">
      <c r="A361" s="5">
        <v>359</v>
      </c>
      <c r="B361" s="6" t="s">
        <v>27</v>
      </c>
      <c r="C361" s="6" t="str">
        <f>"辜晓敏"</f>
        <v>辜晓敏</v>
      </c>
      <c r="D361" s="6" t="str">
        <f aca="true" t="shared" si="167" ref="D361:D367">"女"</f>
        <v>女</v>
      </c>
      <c r="E361" s="6" t="str">
        <f>"1997-10-07"</f>
        <v>1997-10-07</v>
      </c>
      <c r="F361" s="6" t="str">
        <f>"昆明医科大学海源学院"</f>
        <v>昆明医科大学海源学院</v>
      </c>
      <c r="G361" s="6" t="str">
        <f t="shared" si="163"/>
        <v>护理学</v>
      </c>
      <c r="H361" s="6" t="str">
        <f t="shared" si="164"/>
        <v>本科</v>
      </c>
      <c r="I361" s="8" t="s">
        <v>16</v>
      </c>
    </row>
    <row r="362" spans="1:9" ht="24" customHeight="1">
      <c r="A362" s="5">
        <v>360</v>
      </c>
      <c r="B362" s="6" t="s">
        <v>27</v>
      </c>
      <c r="C362" s="6" t="str">
        <f>"陈燕"</f>
        <v>陈燕</v>
      </c>
      <c r="D362" s="6" t="str">
        <f t="shared" si="167"/>
        <v>女</v>
      </c>
      <c r="E362" s="6" t="str">
        <f>"1993-07-16"</f>
        <v>1993-07-16</v>
      </c>
      <c r="F362" s="6" t="str">
        <f>"海南医学院"</f>
        <v>海南医学院</v>
      </c>
      <c r="G362" s="6" t="str">
        <f t="shared" si="165"/>
        <v>护理</v>
      </c>
      <c r="H362" s="6" t="str">
        <f aca="true" t="shared" si="168" ref="H362:H364">"大专"</f>
        <v>大专</v>
      </c>
      <c r="I362" s="8" t="s">
        <v>12</v>
      </c>
    </row>
    <row r="363" spans="1:9" ht="24" customHeight="1">
      <c r="A363" s="5">
        <v>361</v>
      </c>
      <c r="B363" s="6" t="s">
        <v>27</v>
      </c>
      <c r="C363" s="6" t="str">
        <f>"林忠敏"</f>
        <v>林忠敏</v>
      </c>
      <c r="D363" s="6" t="str">
        <f t="shared" si="167"/>
        <v>女</v>
      </c>
      <c r="E363" s="6" t="str">
        <f>"1998-12-03"</f>
        <v>1998-12-03</v>
      </c>
      <c r="F363" s="6" t="str">
        <f>"随州职业技术学院"</f>
        <v>随州职业技术学院</v>
      </c>
      <c r="G363" s="6" t="str">
        <f>"护理专业"</f>
        <v>护理专业</v>
      </c>
      <c r="H363" s="6" t="str">
        <f t="shared" si="168"/>
        <v>大专</v>
      </c>
      <c r="I363" s="8" t="s">
        <v>16</v>
      </c>
    </row>
    <row r="364" spans="1:9" ht="24" customHeight="1">
      <c r="A364" s="5">
        <v>362</v>
      </c>
      <c r="B364" s="6" t="s">
        <v>27</v>
      </c>
      <c r="C364" s="6" t="str">
        <f>"石桂珍"</f>
        <v>石桂珍</v>
      </c>
      <c r="D364" s="6" t="str">
        <f t="shared" si="167"/>
        <v>女</v>
      </c>
      <c r="E364" s="6" t="str">
        <f>"1997-04-08"</f>
        <v>1997-04-08</v>
      </c>
      <c r="F364" s="6" t="str">
        <f>"海南科技职业学院"</f>
        <v>海南科技职业学院</v>
      </c>
      <c r="G364" s="6" t="str">
        <f aca="true" t="shared" si="169" ref="G364:G369">"护理"</f>
        <v>护理</v>
      </c>
      <c r="H364" s="6" t="str">
        <f t="shared" si="168"/>
        <v>大专</v>
      </c>
      <c r="I364" s="8" t="s">
        <v>12</v>
      </c>
    </row>
    <row r="365" spans="1:9" ht="24" customHeight="1">
      <c r="A365" s="5">
        <v>363</v>
      </c>
      <c r="B365" s="6" t="s">
        <v>27</v>
      </c>
      <c r="C365" s="6" t="str">
        <f>"何振领"</f>
        <v>何振领</v>
      </c>
      <c r="D365" s="6" t="str">
        <f t="shared" si="167"/>
        <v>女</v>
      </c>
      <c r="E365" s="6" t="str">
        <f>"1996-04-11"</f>
        <v>1996-04-11</v>
      </c>
      <c r="F365" s="6" t="str">
        <f>"长沙医学院"</f>
        <v>长沙医学院</v>
      </c>
      <c r="G365" s="6" t="str">
        <f aca="true" t="shared" si="170" ref="G365:G371">"护理学"</f>
        <v>护理学</v>
      </c>
      <c r="H365" s="6" t="str">
        <f>"本科"</f>
        <v>本科</v>
      </c>
      <c r="I365" s="8" t="s">
        <v>16</v>
      </c>
    </row>
    <row r="366" spans="1:9" ht="24" customHeight="1">
      <c r="A366" s="5">
        <v>364</v>
      </c>
      <c r="B366" s="6" t="s">
        <v>27</v>
      </c>
      <c r="C366" s="6" t="str">
        <f>"吴晓曼"</f>
        <v>吴晓曼</v>
      </c>
      <c r="D366" s="6" t="str">
        <f t="shared" si="167"/>
        <v>女</v>
      </c>
      <c r="E366" s="6" t="str">
        <f>"1996-09-16"</f>
        <v>1996-09-16</v>
      </c>
      <c r="F366" s="6" t="str">
        <f aca="true" t="shared" si="171" ref="F366:F371">"海南医学院"</f>
        <v>海南医学院</v>
      </c>
      <c r="G366" s="6" t="str">
        <f t="shared" si="169"/>
        <v>护理</v>
      </c>
      <c r="H366" s="6" t="str">
        <f aca="true" t="shared" si="172" ref="H366:H369">"大专"</f>
        <v>大专</v>
      </c>
      <c r="I366" s="8" t="s">
        <v>12</v>
      </c>
    </row>
    <row r="367" spans="1:9" ht="24" customHeight="1">
      <c r="A367" s="5">
        <v>365</v>
      </c>
      <c r="B367" s="6" t="s">
        <v>27</v>
      </c>
      <c r="C367" s="6" t="str">
        <f>"李以景"</f>
        <v>李以景</v>
      </c>
      <c r="D367" s="6" t="str">
        <f t="shared" si="167"/>
        <v>女</v>
      </c>
      <c r="E367" s="6" t="str">
        <f>"1997-04-08"</f>
        <v>1997-04-08</v>
      </c>
      <c r="F367" s="6" t="str">
        <f>"海南科技职业大学"</f>
        <v>海南科技职业大学</v>
      </c>
      <c r="G367" s="6" t="str">
        <f t="shared" si="170"/>
        <v>护理学</v>
      </c>
      <c r="H367" s="6" t="str">
        <f t="shared" si="172"/>
        <v>大专</v>
      </c>
      <c r="I367" s="8" t="s">
        <v>12</v>
      </c>
    </row>
    <row r="368" spans="1:9" ht="24" customHeight="1">
      <c r="A368" s="5">
        <v>366</v>
      </c>
      <c r="B368" s="6" t="s">
        <v>27</v>
      </c>
      <c r="C368" s="6" t="str">
        <f>"韦柯良"</f>
        <v>韦柯良</v>
      </c>
      <c r="D368" s="6" t="str">
        <f>"男"</f>
        <v>男</v>
      </c>
      <c r="E368" s="6" t="str">
        <f>"1998-08-07"</f>
        <v>1998-08-07</v>
      </c>
      <c r="F368" s="6" t="str">
        <f>"河北东方学院"</f>
        <v>河北东方学院</v>
      </c>
      <c r="G368" s="6" t="str">
        <f t="shared" si="169"/>
        <v>护理</v>
      </c>
      <c r="H368" s="6" t="str">
        <f t="shared" si="172"/>
        <v>大专</v>
      </c>
      <c r="I368" s="8" t="s">
        <v>16</v>
      </c>
    </row>
    <row r="369" spans="1:9" ht="24" customHeight="1">
      <c r="A369" s="5">
        <v>367</v>
      </c>
      <c r="B369" s="6" t="s">
        <v>27</v>
      </c>
      <c r="C369" s="6" t="str">
        <f>"梁振银"</f>
        <v>梁振银</v>
      </c>
      <c r="D369" s="6" t="str">
        <f aca="true" t="shared" si="173" ref="D369:D407">"女"</f>
        <v>女</v>
      </c>
      <c r="E369" s="6" t="str">
        <f>"1994-04-08"</f>
        <v>1994-04-08</v>
      </c>
      <c r="F369" s="6" t="str">
        <f>"长春医学高等专科学校"</f>
        <v>长春医学高等专科学校</v>
      </c>
      <c r="G369" s="6" t="str">
        <f t="shared" si="169"/>
        <v>护理</v>
      </c>
      <c r="H369" s="6" t="str">
        <f t="shared" si="172"/>
        <v>大专</v>
      </c>
      <c r="I369" s="8" t="s">
        <v>12</v>
      </c>
    </row>
    <row r="370" spans="1:9" ht="24" customHeight="1">
      <c r="A370" s="5">
        <v>368</v>
      </c>
      <c r="B370" s="6" t="s">
        <v>27</v>
      </c>
      <c r="C370" s="6" t="str">
        <f>"王春花"</f>
        <v>王春花</v>
      </c>
      <c r="D370" s="6" t="str">
        <f t="shared" si="173"/>
        <v>女</v>
      </c>
      <c r="E370" s="6" t="str">
        <f>"1993-04-15"</f>
        <v>1993-04-15</v>
      </c>
      <c r="F370" s="6" t="str">
        <f t="shared" si="171"/>
        <v>海南医学院</v>
      </c>
      <c r="G370" s="6" t="str">
        <f t="shared" si="170"/>
        <v>护理学</v>
      </c>
      <c r="H370" s="6" t="str">
        <f aca="true" t="shared" si="174" ref="H370:H374">"本科"</f>
        <v>本科</v>
      </c>
      <c r="I370" s="8" t="s">
        <v>28</v>
      </c>
    </row>
    <row r="371" spans="1:9" ht="24" customHeight="1">
      <c r="A371" s="5">
        <v>369</v>
      </c>
      <c r="B371" s="6" t="s">
        <v>27</v>
      </c>
      <c r="C371" s="6" t="str">
        <f>"曾美华"</f>
        <v>曾美华</v>
      </c>
      <c r="D371" s="6" t="str">
        <f t="shared" si="173"/>
        <v>女</v>
      </c>
      <c r="E371" s="6" t="str">
        <f>"1996-05-03"</f>
        <v>1996-05-03</v>
      </c>
      <c r="F371" s="6" t="str">
        <f t="shared" si="171"/>
        <v>海南医学院</v>
      </c>
      <c r="G371" s="6" t="str">
        <f t="shared" si="170"/>
        <v>护理学</v>
      </c>
      <c r="H371" s="6" t="str">
        <f aca="true" t="shared" si="175" ref="H371:H375">"大专"</f>
        <v>大专</v>
      </c>
      <c r="I371" s="8" t="s">
        <v>12</v>
      </c>
    </row>
    <row r="372" spans="1:9" ht="24" customHeight="1">
      <c r="A372" s="5">
        <v>370</v>
      </c>
      <c r="B372" s="6" t="s">
        <v>27</v>
      </c>
      <c r="C372" s="6" t="str">
        <f>"陈蔓"</f>
        <v>陈蔓</v>
      </c>
      <c r="D372" s="6" t="str">
        <f t="shared" si="173"/>
        <v>女</v>
      </c>
      <c r="E372" s="6" t="str">
        <f>"1996-06-30"</f>
        <v>1996-06-30</v>
      </c>
      <c r="F372" s="6" t="str">
        <f>"南昌大学"</f>
        <v>南昌大学</v>
      </c>
      <c r="G372" s="6" t="str">
        <f aca="true" t="shared" si="176" ref="G372:G375">"护理"</f>
        <v>护理</v>
      </c>
      <c r="H372" s="6" t="str">
        <f t="shared" si="174"/>
        <v>本科</v>
      </c>
      <c r="I372" s="8" t="s">
        <v>12</v>
      </c>
    </row>
    <row r="373" spans="1:9" ht="24" customHeight="1">
      <c r="A373" s="5">
        <v>371</v>
      </c>
      <c r="B373" s="6" t="s">
        <v>27</v>
      </c>
      <c r="C373" s="6" t="str">
        <f>"羊代玉"</f>
        <v>羊代玉</v>
      </c>
      <c r="D373" s="6" t="str">
        <f t="shared" si="173"/>
        <v>女</v>
      </c>
      <c r="E373" s="6" t="str">
        <f>"1996-08-26"</f>
        <v>1996-08-26</v>
      </c>
      <c r="F373" s="6" t="str">
        <f>"岳阳职业技术学院"</f>
        <v>岳阳职业技术学院</v>
      </c>
      <c r="G373" s="6" t="str">
        <f t="shared" si="176"/>
        <v>护理</v>
      </c>
      <c r="H373" s="6" t="str">
        <f t="shared" si="175"/>
        <v>大专</v>
      </c>
      <c r="I373" s="8" t="s">
        <v>12</v>
      </c>
    </row>
    <row r="374" spans="1:9" ht="24" customHeight="1">
      <c r="A374" s="5">
        <v>372</v>
      </c>
      <c r="B374" s="6" t="s">
        <v>27</v>
      </c>
      <c r="C374" s="6" t="str">
        <f>"杨玲"</f>
        <v>杨玲</v>
      </c>
      <c r="D374" s="6" t="str">
        <f t="shared" si="173"/>
        <v>女</v>
      </c>
      <c r="E374" s="6" t="str">
        <f>"1998-03-28"</f>
        <v>1998-03-28</v>
      </c>
      <c r="F374" s="6" t="str">
        <f>"长沙医学院"</f>
        <v>长沙医学院</v>
      </c>
      <c r="G374" s="6" t="str">
        <f>"护理学"</f>
        <v>护理学</v>
      </c>
      <c r="H374" s="6" t="str">
        <f t="shared" si="174"/>
        <v>本科</v>
      </c>
      <c r="I374" s="8" t="s">
        <v>16</v>
      </c>
    </row>
    <row r="375" spans="1:9" ht="24" customHeight="1">
      <c r="A375" s="5">
        <v>373</v>
      </c>
      <c r="B375" s="6" t="s">
        <v>27</v>
      </c>
      <c r="C375" s="6" t="str">
        <f>"廖雪菲"</f>
        <v>廖雪菲</v>
      </c>
      <c r="D375" s="6" t="str">
        <f t="shared" si="173"/>
        <v>女</v>
      </c>
      <c r="E375" s="6" t="str">
        <f>"1994-11-19"</f>
        <v>1994-11-19</v>
      </c>
      <c r="F375" s="6" t="str">
        <f aca="true" t="shared" si="177" ref="F375:F380">"海南医学院"</f>
        <v>海南医学院</v>
      </c>
      <c r="G375" s="6" t="str">
        <f t="shared" si="176"/>
        <v>护理</v>
      </c>
      <c r="H375" s="6" t="str">
        <f t="shared" si="175"/>
        <v>大专</v>
      </c>
      <c r="I375" s="8" t="s">
        <v>12</v>
      </c>
    </row>
    <row r="376" spans="1:9" ht="24" customHeight="1">
      <c r="A376" s="5">
        <v>374</v>
      </c>
      <c r="B376" s="6" t="s">
        <v>27</v>
      </c>
      <c r="C376" s="6" t="str">
        <f>"陈爱姣"</f>
        <v>陈爱姣</v>
      </c>
      <c r="D376" s="6" t="str">
        <f t="shared" si="173"/>
        <v>女</v>
      </c>
      <c r="E376" s="6" t="str">
        <f>"1994-02-01"</f>
        <v>1994-02-01</v>
      </c>
      <c r="F376" s="6" t="str">
        <f>"东北师范大学人文学院"</f>
        <v>东北师范大学人文学院</v>
      </c>
      <c r="G376" s="6" t="str">
        <f>"护理学"</f>
        <v>护理学</v>
      </c>
      <c r="H376" s="6" t="str">
        <f>"本科"</f>
        <v>本科</v>
      </c>
      <c r="I376" s="8" t="s">
        <v>16</v>
      </c>
    </row>
    <row r="377" spans="1:9" ht="24" customHeight="1">
      <c r="A377" s="5">
        <v>375</v>
      </c>
      <c r="B377" s="6" t="s">
        <v>27</v>
      </c>
      <c r="C377" s="6" t="str">
        <f>"朱清清"</f>
        <v>朱清清</v>
      </c>
      <c r="D377" s="6" t="str">
        <f t="shared" si="173"/>
        <v>女</v>
      </c>
      <c r="E377" s="6" t="str">
        <f>"1999-10-10"</f>
        <v>1999-10-10</v>
      </c>
      <c r="F377" s="6" t="str">
        <f>"平顶山学院"</f>
        <v>平顶山学院</v>
      </c>
      <c r="G377" s="6" t="str">
        <f aca="true" t="shared" si="178" ref="G377:G380">"护理"</f>
        <v>护理</v>
      </c>
      <c r="H377" s="6" t="str">
        <f aca="true" t="shared" si="179" ref="H377:H382">"大专"</f>
        <v>大专</v>
      </c>
      <c r="I377" s="8" t="s">
        <v>16</v>
      </c>
    </row>
    <row r="378" spans="1:9" ht="24" customHeight="1">
      <c r="A378" s="5">
        <v>376</v>
      </c>
      <c r="B378" s="6" t="s">
        <v>27</v>
      </c>
      <c r="C378" s="6" t="str">
        <f>"高秀妹"</f>
        <v>高秀妹</v>
      </c>
      <c r="D378" s="6" t="str">
        <f t="shared" si="173"/>
        <v>女</v>
      </c>
      <c r="E378" s="6" t="str">
        <f>"1998-03-28"</f>
        <v>1998-03-28</v>
      </c>
      <c r="F378" s="6" t="str">
        <f t="shared" si="177"/>
        <v>海南医学院</v>
      </c>
      <c r="G378" s="6" t="str">
        <f t="shared" si="178"/>
        <v>护理</v>
      </c>
      <c r="H378" s="6" t="str">
        <f t="shared" si="179"/>
        <v>大专</v>
      </c>
      <c r="I378" s="8" t="s">
        <v>12</v>
      </c>
    </row>
    <row r="379" spans="1:9" ht="24" customHeight="1">
      <c r="A379" s="5">
        <v>377</v>
      </c>
      <c r="B379" s="6" t="s">
        <v>27</v>
      </c>
      <c r="C379" s="6" t="str">
        <f>"杨秀央"</f>
        <v>杨秀央</v>
      </c>
      <c r="D379" s="6" t="str">
        <f t="shared" si="173"/>
        <v>女</v>
      </c>
      <c r="E379" s="6" t="str">
        <f>"1998-04-26"</f>
        <v>1998-04-26</v>
      </c>
      <c r="F379" s="6" t="str">
        <f t="shared" si="177"/>
        <v>海南医学院</v>
      </c>
      <c r="G379" s="6" t="str">
        <f t="shared" si="178"/>
        <v>护理</v>
      </c>
      <c r="H379" s="6" t="str">
        <f t="shared" si="179"/>
        <v>大专</v>
      </c>
      <c r="I379" s="8" t="s">
        <v>16</v>
      </c>
    </row>
    <row r="380" spans="1:9" ht="24" customHeight="1">
      <c r="A380" s="5">
        <v>378</v>
      </c>
      <c r="B380" s="6" t="s">
        <v>27</v>
      </c>
      <c r="C380" s="6" t="str">
        <f>"陈慧洁"</f>
        <v>陈慧洁</v>
      </c>
      <c r="D380" s="6" t="str">
        <f t="shared" si="173"/>
        <v>女</v>
      </c>
      <c r="E380" s="6" t="str">
        <f>"1999-12-17"</f>
        <v>1999-12-17</v>
      </c>
      <c r="F380" s="6" t="str">
        <f t="shared" si="177"/>
        <v>海南医学院</v>
      </c>
      <c r="G380" s="6" t="str">
        <f t="shared" si="178"/>
        <v>护理</v>
      </c>
      <c r="H380" s="6" t="str">
        <f t="shared" si="179"/>
        <v>大专</v>
      </c>
      <c r="I380" s="8" t="s">
        <v>16</v>
      </c>
    </row>
    <row r="381" spans="1:9" ht="24" customHeight="1">
      <c r="A381" s="5">
        <v>379</v>
      </c>
      <c r="B381" s="6" t="s">
        <v>27</v>
      </c>
      <c r="C381" s="6" t="str">
        <f>"陈爱日"</f>
        <v>陈爱日</v>
      </c>
      <c r="D381" s="6" t="str">
        <f t="shared" si="173"/>
        <v>女</v>
      </c>
      <c r="E381" s="6" t="str">
        <f>"1996-02-01"</f>
        <v>1996-02-01</v>
      </c>
      <c r="F381" s="6" t="str">
        <f>"铜仁职业技术学院"</f>
        <v>铜仁职业技术学院</v>
      </c>
      <c r="G381" s="6" t="str">
        <f aca="true" t="shared" si="180" ref="G381:G385">"护理学"</f>
        <v>护理学</v>
      </c>
      <c r="H381" s="6" t="str">
        <f t="shared" si="179"/>
        <v>大专</v>
      </c>
      <c r="I381" s="8" t="s">
        <v>16</v>
      </c>
    </row>
    <row r="382" spans="1:9" ht="24" customHeight="1">
      <c r="A382" s="5">
        <v>380</v>
      </c>
      <c r="B382" s="6" t="s">
        <v>27</v>
      </c>
      <c r="C382" s="6" t="str">
        <f>"卓丽佳"</f>
        <v>卓丽佳</v>
      </c>
      <c r="D382" s="6" t="str">
        <f t="shared" si="173"/>
        <v>女</v>
      </c>
      <c r="E382" s="6" t="str">
        <f>"1996-08-11"</f>
        <v>1996-08-11</v>
      </c>
      <c r="F382" s="6" t="str">
        <f>"江西卫生职业学院"</f>
        <v>江西卫生职业学院</v>
      </c>
      <c r="G382" s="6" t="str">
        <f aca="true" t="shared" si="181" ref="G382:G386">"护理"</f>
        <v>护理</v>
      </c>
      <c r="H382" s="6" t="str">
        <f t="shared" si="179"/>
        <v>大专</v>
      </c>
      <c r="I382" s="8" t="s">
        <v>12</v>
      </c>
    </row>
    <row r="383" spans="1:9" ht="24" customHeight="1">
      <c r="A383" s="5">
        <v>381</v>
      </c>
      <c r="B383" s="6" t="s">
        <v>27</v>
      </c>
      <c r="C383" s="6" t="str">
        <f>"郑金伦"</f>
        <v>郑金伦</v>
      </c>
      <c r="D383" s="6" t="str">
        <f t="shared" si="173"/>
        <v>女</v>
      </c>
      <c r="E383" s="6" t="str">
        <f>"1999-02-25"</f>
        <v>1999-02-25</v>
      </c>
      <c r="F383" s="6" t="str">
        <f aca="true" t="shared" si="182" ref="F383:F387">"海南医学院"</f>
        <v>海南医学院</v>
      </c>
      <c r="G383" s="6" t="str">
        <f t="shared" si="180"/>
        <v>护理学</v>
      </c>
      <c r="H383" s="6" t="str">
        <f>"本科"</f>
        <v>本科</v>
      </c>
      <c r="I383" s="8" t="s">
        <v>16</v>
      </c>
    </row>
    <row r="384" spans="1:9" ht="24" customHeight="1">
      <c r="A384" s="5">
        <v>382</v>
      </c>
      <c r="B384" s="6" t="s">
        <v>27</v>
      </c>
      <c r="C384" s="6" t="str">
        <f>"曾冬红"</f>
        <v>曾冬红</v>
      </c>
      <c r="D384" s="6" t="str">
        <f t="shared" si="173"/>
        <v>女</v>
      </c>
      <c r="E384" s="6" t="str">
        <f>"1996-11-17"</f>
        <v>1996-11-17</v>
      </c>
      <c r="F384" s="6" t="str">
        <f>"南昌大学"</f>
        <v>南昌大学</v>
      </c>
      <c r="G384" s="6" t="str">
        <f t="shared" si="181"/>
        <v>护理</v>
      </c>
      <c r="H384" s="6" t="str">
        <f aca="true" t="shared" si="183" ref="H384:H395">"大专"</f>
        <v>大专</v>
      </c>
      <c r="I384" s="8" t="s">
        <v>12</v>
      </c>
    </row>
    <row r="385" spans="1:9" ht="24" customHeight="1">
      <c r="A385" s="5">
        <v>383</v>
      </c>
      <c r="B385" s="6" t="s">
        <v>27</v>
      </c>
      <c r="C385" s="6" t="str">
        <f>"韦思妹"</f>
        <v>韦思妹</v>
      </c>
      <c r="D385" s="6" t="str">
        <f t="shared" si="173"/>
        <v>女</v>
      </c>
      <c r="E385" s="6" t="str">
        <f>"1993-09-13"</f>
        <v>1993-09-13</v>
      </c>
      <c r="F385" s="6" t="str">
        <f>"广西中医药大学"</f>
        <v>广西中医药大学</v>
      </c>
      <c r="G385" s="6" t="str">
        <f t="shared" si="180"/>
        <v>护理学</v>
      </c>
      <c r="H385" s="6" t="str">
        <f t="shared" si="183"/>
        <v>大专</v>
      </c>
      <c r="I385" s="8" t="s">
        <v>12</v>
      </c>
    </row>
    <row r="386" spans="1:9" ht="24" customHeight="1">
      <c r="A386" s="5">
        <v>384</v>
      </c>
      <c r="B386" s="6" t="s">
        <v>27</v>
      </c>
      <c r="C386" s="6" t="str">
        <f>"王财乐"</f>
        <v>王财乐</v>
      </c>
      <c r="D386" s="6" t="str">
        <f t="shared" si="173"/>
        <v>女</v>
      </c>
      <c r="E386" s="6" t="str">
        <f>"1998-10-23"</f>
        <v>1998-10-23</v>
      </c>
      <c r="F386" s="6" t="str">
        <f t="shared" si="182"/>
        <v>海南医学院</v>
      </c>
      <c r="G386" s="6" t="str">
        <f t="shared" si="181"/>
        <v>护理</v>
      </c>
      <c r="H386" s="6" t="str">
        <f t="shared" si="183"/>
        <v>大专</v>
      </c>
      <c r="I386" s="8" t="s">
        <v>16</v>
      </c>
    </row>
    <row r="387" spans="1:9" ht="24" customHeight="1">
      <c r="A387" s="5">
        <v>385</v>
      </c>
      <c r="B387" s="6" t="s">
        <v>27</v>
      </c>
      <c r="C387" s="6" t="str">
        <f>"李小倩"</f>
        <v>李小倩</v>
      </c>
      <c r="D387" s="6" t="str">
        <f t="shared" si="173"/>
        <v>女</v>
      </c>
      <c r="E387" s="6" t="str">
        <f>"1993-04-15"</f>
        <v>1993-04-15</v>
      </c>
      <c r="F387" s="6" t="str">
        <f t="shared" si="182"/>
        <v>海南医学院</v>
      </c>
      <c r="G387" s="6" t="str">
        <f>"护理专业"</f>
        <v>护理专业</v>
      </c>
      <c r="H387" s="6" t="str">
        <f t="shared" si="183"/>
        <v>大专</v>
      </c>
      <c r="I387" s="8" t="s">
        <v>12</v>
      </c>
    </row>
    <row r="388" spans="1:9" ht="24" customHeight="1">
      <c r="A388" s="5">
        <v>386</v>
      </c>
      <c r="B388" s="6" t="s">
        <v>27</v>
      </c>
      <c r="C388" s="6" t="str">
        <f>"黎明鲜"</f>
        <v>黎明鲜</v>
      </c>
      <c r="D388" s="6" t="str">
        <f t="shared" si="173"/>
        <v>女</v>
      </c>
      <c r="E388" s="6" t="str">
        <f>"1998-03-28"</f>
        <v>1998-03-28</v>
      </c>
      <c r="F388" s="6" t="str">
        <f>"湘潭医卫职业技术学院"</f>
        <v>湘潭医卫职业技术学院</v>
      </c>
      <c r="G388" s="6" t="str">
        <f aca="true" t="shared" si="184" ref="G388:G392">"护理"</f>
        <v>护理</v>
      </c>
      <c r="H388" s="6" t="str">
        <f t="shared" si="183"/>
        <v>大专</v>
      </c>
      <c r="I388" s="8" t="s">
        <v>16</v>
      </c>
    </row>
    <row r="389" spans="1:9" ht="24" customHeight="1">
      <c r="A389" s="5">
        <v>387</v>
      </c>
      <c r="B389" s="6" t="s">
        <v>27</v>
      </c>
      <c r="C389" s="6" t="str">
        <f>"周蕊"</f>
        <v>周蕊</v>
      </c>
      <c r="D389" s="6" t="str">
        <f t="shared" si="173"/>
        <v>女</v>
      </c>
      <c r="E389" s="6" t="str">
        <f>"1996-04-30"</f>
        <v>1996-04-30</v>
      </c>
      <c r="F389" s="6" t="str">
        <f aca="true" t="shared" si="185" ref="F389:F393">"海南医学院"</f>
        <v>海南医学院</v>
      </c>
      <c r="G389" s="6" t="str">
        <f>"护理专业"</f>
        <v>护理专业</v>
      </c>
      <c r="H389" s="6" t="str">
        <f t="shared" si="183"/>
        <v>大专</v>
      </c>
      <c r="I389" s="8" t="s">
        <v>12</v>
      </c>
    </row>
    <row r="390" spans="1:9" ht="24" customHeight="1">
      <c r="A390" s="5">
        <v>388</v>
      </c>
      <c r="B390" s="6" t="s">
        <v>27</v>
      </c>
      <c r="C390" s="6" t="str">
        <f>"许晓靖"</f>
        <v>许晓靖</v>
      </c>
      <c r="D390" s="6" t="str">
        <f t="shared" si="173"/>
        <v>女</v>
      </c>
      <c r="E390" s="6" t="str">
        <f>"1995-05-09"</f>
        <v>1995-05-09</v>
      </c>
      <c r="F390" s="6" t="str">
        <f t="shared" si="185"/>
        <v>海南医学院</v>
      </c>
      <c r="G390" s="6" t="str">
        <f t="shared" si="184"/>
        <v>护理</v>
      </c>
      <c r="H390" s="6" t="str">
        <f t="shared" si="183"/>
        <v>大专</v>
      </c>
      <c r="I390" s="8" t="s">
        <v>12</v>
      </c>
    </row>
    <row r="391" spans="1:9" ht="24" customHeight="1">
      <c r="A391" s="5">
        <v>389</v>
      </c>
      <c r="B391" s="6" t="s">
        <v>27</v>
      </c>
      <c r="C391" s="6" t="str">
        <f>"王祚燕"</f>
        <v>王祚燕</v>
      </c>
      <c r="D391" s="6" t="str">
        <f t="shared" si="173"/>
        <v>女</v>
      </c>
      <c r="E391" s="6" t="str">
        <f>"1995-01-03"</f>
        <v>1995-01-03</v>
      </c>
      <c r="F391" s="6" t="str">
        <f t="shared" si="185"/>
        <v>海南医学院</v>
      </c>
      <c r="G391" s="6" t="str">
        <f>"护理学"</f>
        <v>护理学</v>
      </c>
      <c r="H391" s="6" t="str">
        <f t="shared" si="183"/>
        <v>大专</v>
      </c>
      <c r="I391" s="8" t="s">
        <v>12</v>
      </c>
    </row>
    <row r="392" spans="1:9" ht="24" customHeight="1">
      <c r="A392" s="5">
        <v>390</v>
      </c>
      <c r="B392" s="6" t="s">
        <v>27</v>
      </c>
      <c r="C392" s="6" t="str">
        <f>"周丽环"</f>
        <v>周丽环</v>
      </c>
      <c r="D392" s="6" t="str">
        <f t="shared" si="173"/>
        <v>女</v>
      </c>
      <c r="E392" s="6" t="str">
        <f>"1996-12-12"</f>
        <v>1996-12-12</v>
      </c>
      <c r="F392" s="6" t="str">
        <f t="shared" si="185"/>
        <v>海南医学院</v>
      </c>
      <c r="G392" s="6" t="str">
        <f t="shared" si="184"/>
        <v>护理</v>
      </c>
      <c r="H392" s="6" t="str">
        <f t="shared" si="183"/>
        <v>大专</v>
      </c>
      <c r="I392" s="8" t="s">
        <v>12</v>
      </c>
    </row>
    <row r="393" spans="1:9" ht="24" customHeight="1">
      <c r="A393" s="5">
        <v>391</v>
      </c>
      <c r="B393" s="6" t="s">
        <v>27</v>
      </c>
      <c r="C393" s="6" t="str">
        <f>"曾美姣"</f>
        <v>曾美姣</v>
      </c>
      <c r="D393" s="6" t="str">
        <f t="shared" si="173"/>
        <v>女</v>
      </c>
      <c r="E393" s="6" t="str">
        <f>"1995-07-13"</f>
        <v>1995-07-13</v>
      </c>
      <c r="F393" s="6" t="str">
        <f t="shared" si="185"/>
        <v>海南医学院</v>
      </c>
      <c r="G393" s="6" t="str">
        <f>"海南医学院"</f>
        <v>海南医学院</v>
      </c>
      <c r="H393" s="6" t="str">
        <f t="shared" si="183"/>
        <v>大专</v>
      </c>
      <c r="I393" s="8" t="s">
        <v>12</v>
      </c>
    </row>
    <row r="394" spans="1:9" ht="24" customHeight="1">
      <c r="A394" s="5">
        <v>392</v>
      </c>
      <c r="B394" s="6" t="s">
        <v>27</v>
      </c>
      <c r="C394" s="6" t="str">
        <f>"罗雯"</f>
        <v>罗雯</v>
      </c>
      <c r="D394" s="6" t="str">
        <f t="shared" si="173"/>
        <v>女</v>
      </c>
      <c r="E394" s="6" t="str">
        <f>"1998-11-09"</f>
        <v>1998-11-09</v>
      </c>
      <c r="F394" s="6" t="str">
        <f>"江西医学高等专科学校"</f>
        <v>江西医学高等专科学校</v>
      </c>
      <c r="G394" s="6" t="str">
        <f aca="true" t="shared" si="186" ref="G394:G397">"护理"</f>
        <v>护理</v>
      </c>
      <c r="H394" s="6" t="str">
        <f t="shared" si="183"/>
        <v>大专</v>
      </c>
      <c r="I394" s="8" t="s">
        <v>12</v>
      </c>
    </row>
    <row r="395" spans="1:9" ht="24" customHeight="1">
      <c r="A395" s="5">
        <v>393</v>
      </c>
      <c r="B395" s="6" t="s">
        <v>27</v>
      </c>
      <c r="C395" s="6" t="str">
        <f>"何沁"</f>
        <v>何沁</v>
      </c>
      <c r="D395" s="6" t="str">
        <f t="shared" si="173"/>
        <v>女</v>
      </c>
      <c r="E395" s="6" t="str">
        <f>"1997-07-30"</f>
        <v>1997-07-30</v>
      </c>
      <c r="F395" s="6" t="str">
        <f aca="true" t="shared" si="187" ref="F395:F398">"海南医学院"</f>
        <v>海南医学院</v>
      </c>
      <c r="G395" s="6" t="str">
        <f t="shared" si="186"/>
        <v>护理</v>
      </c>
      <c r="H395" s="6" t="str">
        <f t="shared" si="183"/>
        <v>大专</v>
      </c>
      <c r="I395" s="8" t="s">
        <v>12</v>
      </c>
    </row>
    <row r="396" spans="1:9" ht="24" customHeight="1">
      <c r="A396" s="5">
        <v>394</v>
      </c>
      <c r="B396" s="6" t="s">
        <v>27</v>
      </c>
      <c r="C396" s="6" t="str">
        <f>"陈和玉"</f>
        <v>陈和玉</v>
      </c>
      <c r="D396" s="6" t="str">
        <f t="shared" si="173"/>
        <v>女</v>
      </c>
      <c r="E396" s="6" t="str">
        <f>"1993-11-16"</f>
        <v>1993-11-16</v>
      </c>
      <c r="F396" s="6" t="str">
        <f>"四川大学"</f>
        <v>四川大学</v>
      </c>
      <c r="G396" s="6" t="str">
        <f t="shared" si="186"/>
        <v>护理</v>
      </c>
      <c r="H396" s="6" t="str">
        <f>"本科"</f>
        <v>本科</v>
      </c>
      <c r="I396" s="8" t="s">
        <v>12</v>
      </c>
    </row>
    <row r="397" spans="1:9" ht="24" customHeight="1">
      <c r="A397" s="5">
        <v>395</v>
      </c>
      <c r="B397" s="6" t="s">
        <v>27</v>
      </c>
      <c r="C397" s="6" t="str">
        <f>"李颜"</f>
        <v>李颜</v>
      </c>
      <c r="D397" s="6" t="str">
        <f t="shared" si="173"/>
        <v>女</v>
      </c>
      <c r="E397" s="6" t="str">
        <f>"1997-08-08"</f>
        <v>1997-08-08</v>
      </c>
      <c r="F397" s="6" t="str">
        <f t="shared" si="187"/>
        <v>海南医学院</v>
      </c>
      <c r="G397" s="6" t="str">
        <f t="shared" si="186"/>
        <v>护理</v>
      </c>
      <c r="H397" s="6" t="str">
        <f aca="true" t="shared" si="188" ref="H397:H400">"大专"</f>
        <v>大专</v>
      </c>
      <c r="I397" s="8" t="s">
        <v>12</v>
      </c>
    </row>
    <row r="398" spans="1:9" ht="24" customHeight="1">
      <c r="A398" s="5">
        <v>396</v>
      </c>
      <c r="B398" s="6" t="s">
        <v>27</v>
      </c>
      <c r="C398" s="6" t="str">
        <f>"李紫艳"</f>
        <v>李紫艳</v>
      </c>
      <c r="D398" s="6" t="str">
        <f t="shared" si="173"/>
        <v>女</v>
      </c>
      <c r="E398" s="6" t="str">
        <f>"2000-01-08"</f>
        <v>2000-01-08</v>
      </c>
      <c r="F398" s="6" t="str">
        <f t="shared" si="187"/>
        <v>海南医学院</v>
      </c>
      <c r="G398" s="6" t="str">
        <f aca="true" t="shared" si="189" ref="G398:G403">"护理学"</f>
        <v>护理学</v>
      </c>
      <c r="H398" s="6" t="str">
        <f t="shared" si="188"/>
        <v>大专</v>
      </c>
      <c r="I398" s="8" t="s">
        <v>12</v>
      </c>
    </row>
    <row r="399" spans="1:9" ht="24" customHeight="1">
      <c r="A399" s="5">
        <v>397</v>
      </c>
      <c r="B399" s="6" t="s">
        <v>27</v>
      </c>
      <c r="C399" s="6" t="str">
        <f>"熊瑞雪"</f>
        <v>熊瑞雪</v>
      </c>
      <c r="D399" s="6" t="str">
        <f t="shared" si="173"/>
        <v>女</v>
      </c>
      <c r="E399" s="6" t="str">
        <f>"1994-12-07"</f>
        <v>1994-12-07</v>
      </c>
      <c r="F399" s="6" t="str">
        <f>"湖北中医药高等专科学校"</f>
        <v>湖北中医药高等专科学校</v>
      </c>
      <c r="G399" s="6" t="str">
        <f t="shared" si="189"/>
        <v>护理学</v>
      </c>
      <c r="H399" s="6" t="str">
        <f t="shared" si="188"/>
        <v>大专</v>
      </c>
      <c r="I399" s="8" t="s">
        <v>12</v>
      </c>
    </row>
    <row r="400" spans="1:9" ht="24" customHeight="1">
      <c r="A400" s="5">
        <v>398</v>
      </c>
      <c r="B400" s="6" t="s">
        <v>27</v>
      </c>
      <c r="C400" s="6" t="str">
        <f>"杜明金"</f>
        <v>杜明金</v>
      </c>
      <c r="D400" s="6" t="str">
        <f t="shared" si="173"/>
        <v>女</v>
      </c>
      <c r="E400" s="6" t="str">
        <f>"1998-09-14"</f>
        <v>1998-09-14</v>
      </c>
      <c r="F400" s="6" t="str">
        <f>"海南科技职业技术学院"</f>
        <v>海南科技职业技术学院</v>
      </c>
      <c r="G400" s="6" t="str">
        <f aca="true" t="shared" si="190" ref="G400:G408">"护理"</f>
        <v>护理</v>
      </c>
      <c r="H400" s="6" t="str">
        <f t="shared" si="188"/>
        <v>大专</v>
      </c>
      <c r="I400" s="8" t="s">
        <v>16</v>
      </c>
    </row>
    <row r="401" spans="1:9" ht="24" customHeight="1">
      <c r="A401" s="5">
        <v>399</v>
      </c>
      <c r="B401" s="6" t="s">
        <v>27</v>
      </c>
      <c r="C401" s="6" t="str">
        <f>"温敏"</f>
        <v>温敏</v>
      </c>
      <c r="D401" s="6" t="str">
        <f t="shared" si="173"/>
        <v>女</v>
      </c>
      <c r="E401" s="6" t="str">
        <f>"1994-03-08"</f>
        <v>1994-03-08</v>
      </c>
      <c r="F401" s="6" t="str">
        <f aca="true" t="shared" si="191" ref="F401:F405">"海南医学院"</f>
        <v>海南医学院</v>
      </c>
      <c r="G401" s="6" t="str">
        <f t="shared" si="190"/>
        <v>护理</v>
      </c>
      <c r="H401" s="6" t="str">
        <f aca="true" t="shared" si="192" ref="H401:H404">"本科"</f>
        <v>本科</v>
      </c>
      <c r="I401" s="8" t="s">
        <v>12</v>
      </c>
    </row>
    <row r="402" spans="1:9" ht="24" customHeight="1">
      <c r="A402" s="5">
        <v>400</v>
      </c>
      <c r="B402" s="6" t="s">
        <v>27</v>
      </c>
      <c r="C402" s="6" t="str">
        <f>"吴琼凤"</f>
        <v>吴琼凤</v>
      </c>
      <c r="D402" s="6" t="str">
        <f t="shared" si="173"/>
        <v>女</v>
      </c>
      <c r="E402" s="6" t="str">
        <f>"1996-08-20"</f>
        <v>1996-08-20</v>
      </c>
      <c r="F402" s="6" t="str">
        <f>"广西科技大学"</f>
        <v>广西科技大学</v>
      </c>
      <c r="G402" s="6" t="str">
        <f t="shared" si="189"/>
        <v>护理学</v>
      </c>
      <c r="H402" s="6" t="str">
        <f t="shared" si="192"/>
        <v>本科</v>
      </c>
      <c r="I402" s="8" t="s">
        <v>12</v>
      </c>
    </row>
    <row r="403" spans="1:9" ht="24" customHeight="1">
      <c r="A403" s="5">
        <v>401</v>
      </c>
      <c r="B403" s="6" t="s">
        <v>27</v>
      </c>
      <c r="C403" s="6" t="str">
        <f>"韦丹丹"</f>
        <v>韦丹丹</v>
      </c>
      <c r="D403" s="6" t="str">
        <f t="shared" si="173"/>
        <v>女</v>
      </c>
      <c r="E403" s="6" t="str">
        <f>"1999-03-23"</f>
        <v>1999-03-23</v>
      </c>
      <c r="F403" s="6" t="str">
        <f>"长沙医学院"</f>
        <v>长沙医学院</v>
      </c>
      <c r="G403" s="6" t="str">
        <f t="shared" si="189"/>
        <v>护理学</v>
      </c>
      <c r="H403" s="6" t="str">
        <f t="shared" si="192"/>
        <v>本科</v>
      </c>
      <c r="I403" s="8" t="s">
        <v>16</v>
      </c>
    </row>
    <row r="404" spans="1:9" ht="24" customHeight="1">
      <c r="A404" s="5">
        <v>402</v>
      </c>
      <c r="B404" s="6" t="s">
        <v>27</v>
      </c>
      <c r="C404" s="6" t="str">
        <f>"曾金岸"</f>
        <v>曾金岸</v>
      </c>
      <c r="D404" s="6" t="str">
        <f t="shared" si="173"/>
        <v>女</v>
      </c>
      <c r="E404" s="6" t="str">
        <f>"1996-08-30"</f>
        <v>1996-08-30</v>
      </c>
      <c r="F404" s="6" t="str">
        <f t="shared" si="191"/>
        <v>海南医学院</v>
      </c>
      <c r="G404" s="6" t="str">
        <f t="shared" si="190"/>
        <v>护理</v>
      </c>
      <c r="H404" s="6" t="str">
        <f t="shared" si="192"/>
        <v>本科</v>
      </c>
      <c r="I404" s="8" t="s">
        <v>12</v>
      </c>
    </row>
    <row r="405" spans="1:9" ht="24" customHeight="1">
      <c r="A405" s="5">
        <v>403</v>
      </c>
      <c r="B405" s="6" t="s">
        <v>27</v>
      </c>
      <c r="C405" s="6" t="str">
        <f>"赵文军"</f>
        <v>赵文军</v>
      </c>
      <c r="D405" s="6" t="str">
        <f t="shared" si="173"/>
        <v>女</v>
      </c>
      <c r="E405" s="6" t="str">
        <f>"1998-04-25"</f>
        <v>1998-04-25</v>
      </c>
      <c r="F405" s="6" t="str">
        <f t="shared" si="191"/>
        <v>海南医学院</v>
      </c>
      <c r="G405" s="6" t="str">
        <f t="shared" si="190"/>
        <v>护理</v>
      </c>
      <c r="H405" s="6" t="str">
        <f aca="true" t="shared" si="193" ref="H405:H408">"大专"</f>
        <v>大专</v>
      </c>
      <c r="I405" s="8" t="s">
        <v>12</v>
      </c>
    </row>
    <row r="406" spans="1:9" ht="24" customHeight="1">
      <c r="A406" s="5">
        <v>404</v>
      </c>
      <c r="B406" s="6" t="s">
        <v>27</v>
      </c>
      <c r="C406" s="6" t="str">
        <f>"陈泰燕"</f>
        <v>陈泰燕</v>
      </c>
      <c r="D406" s="6" t="str">
        <f t="shared" si="173"/>
        <v>女</v>
      </c>
      <c r="E406" s="6" t="str">
        <f>"1997-09-21"</f>
        <v>1997-09-21</v>
      </c>
      <c r="F406" s="6" t="str">
        <f>"湖北省荆州职业技术学院"</f>
        <v>湖北省荆州职业技术学院</v>
      </c>
      <c r="G406" s="6" t="str">
        <f t="shared" si="190"/>
        <v>护理</v>
      </c>
      <c r="H406" s="6" t="str">
        <f t="shared" si="193"/>
        <v>大专</v>
      </c>
      <c r="I406" s="8" t="s">
        <v>12</v>
      </c>
    </row>
    <row r="407" spans="1:9" ht="24" customHeight="1">
      <c r="A407" s="5">
        <v>405</v>
      </c>
      <c r="B407" s="6" t="s">
        <v>27</v>
      </c>
      <c r="C407" s="6" t="str">
        <f>"符连姑"</f>
        <v>符连姑</v>
      </c>
      <c r="D407" s="6" t="str">
        <f t="shared" si="173"/>
        <v>女</v>
      </c>
      <c r="E407" s="6" t="str">
        <f>"1997-05-03"</f>
        <v>1997-05-03</v>
      </c>
      <c r="F407" s="6" t="str">
        <f>"海南科技职业大学"</f>
        <v>海南科技职业大学</v>
      </c>
      <c r="G407" s="6" t="str">
        <f t="shared" si="190"/>
        <v>护理</v>
      </c>
      <c r="H407" s="6" t="str">
        <f t="shared" si="193"/>
        <v>大专</v>
      </c>
      <c r="I407" s="8" t="s">
        <v>16</v>
      </c>
    </row>
    <row r="408" spans="1:9" ht="24" customHeight="1">
      <c r="A408" s="5">
        <v>406</v>
      </c>
      <c r="B408" s="6" t="s">
        <v>29</v>
      </c>
      <c r="C408" s="6" t="str">
        <f>"曾培"</f>
        <v>曾培</v>
      </c>
      <c r="D408" s="6" t="str">
        <f>"男"</f>
        <v>男</v>
      </c>
      <c r="E408" s="6" t="str">
        <f>"1998-05-15"</f>
        <v>1998-05-15</v>
      </c>
      <c r="F408" s="6" t="str">
        <f>"四川中医药高等专科学校"</f>
        <v>四川中医药高等专科学校</v>
      </c>
      <c r="G408" s="6" t="str">
        <f t="shared" si="190"/>
        <v>护理</v>
      </c>
      <c r="H408" s="6" t="str">
        <f t="shared" si="193"/>
        <v>大专</v>
      </c>
      <c r="I408" s="8" t="s">
        <v>16</v>
      </c>
    </row>
    <row r="409" spans="1:9" ht="24" customHeight="1">
      <c r="A409" s="5">
        <v>407</v>
      </c>
      <c r="B409" s="6" t="s">
        <v>29</v>
      </c>
      <c r="C409" s="6" t="str">
        <f>"赵婉婉"</f>
        <v>赵婉婉</v>
      </c>
      <c r="D409" s="6" t="str">
        <f aca="true" t="shared" si="194" ref="D409:D413">"女"</f>
        <v>女</v>
      </c>
      <c r="E409" s="6" t="str">
        <f>"1992-09-13"</f>
        <v>1992-09-13</v>
      </c>
      <c r="F409" s="6" t="str">
        <f>"郑州大学"</f>
        <v>郑州大学</v>
      </c>
      <c r="G409" s="6" t="str">
        <f aca="true" t="shared" si="195" ref="G409:G413">"护理学"</f>
        <v>护理学</v>
      </c>
      <c r="H409" s="6" t="str">
        <f aca="true" t="shared" si="196" ref="H409:H413">"本科"</f>
        <v>本科</v>
      </c>
      <c r="I409" s="8" t="s">
        <v>12</v>
      </c>
    </row>
    <row r="410" spans="1:9" ht="24" customHeight="1">
      <c r="A410" s="5">
        <v>408</v>
      </c>
      <c r="B410" s="6" t="s">
        <v>29</v>
      </c>
      <c r="C410" s="6" t="str">
        <f>"苏玲玉"</f>
        <v>苏玲玉</v>
      </c>
      <c r="D410" s="6" t="str">
        <f t="shared" si="194"/>
        <v>女</v>
      </c>
      <c r="E410" s="6" t="str">
        <f>"1994-10-09"</f>
        <v>1994-10-09</v>
      </c>
      <c r="F410" s="6" t="str">
        <f>"四川大学"</f>
        <v>四川大学</v>
      </c>
      <c r="G410" s="6" t="str">
        <f>"护理"</f>
        <v>护理</v>
      </c>
      <c r="H410" s="6" t="str">
        <f aca="true" t="shared" si="197" ref="H410:H414">"大专"</f>
        <v>大专</v>
      </c>
      <c r="I410" s="8" t="s">
        <v>28</v>
      </c>
    </row>
    <row r="411" spans="1:9" ht="24" customHeight="1">
      <c r="A411" s="5">
        <v>409</v>
      </c>
      <c r="B411" s="6" t="s">
        <v>29</v>
      </c>
      <c r="C411" s="6" t="str">
        <f>"郭波霞"</f>
        <v>郭波霞</v>
      </c>
      <c r="D411" s="6" t="str">
        <f t="shared" si="194"/>
        <v>女</v>
      </c>
      <c r="E411" s="6" t="str">
        <f>"1989-12-01"</f>
        <v>1989-12-01</v>
      </c>
      <c r="F411" s="6" t="str">
        <f>"鄂州职业大学"</f>
        <v>鄂州职业大学</v>
      </c>
      <c r="G411" s="6" t="str">
        <f t="shared" si="195"/>
        <v>护理学</v>
      </c>
      <c r="H411" s="6" t="str">
        <f t="shared" si="196"/>
        <v>本科</v>
      </c>
      <c r="I411" s="8" t="s">
        <v>12</v>
      </c>
    </row>
    <row r="412" spans="1:9" ht="24" customHeight="1">
      <c r="A412" s="5">
        <v>410</v>
      </c>
      <c r="B412" s="6" t="s">
        <v>29</v>
      </c>
      <c r="C412" s="6" t="str">
        <f>"曾小慧"</f>
        <v>曾小慧</v>
      </c>
      <c r="D412" s="6" t="str">
        <f t="shared" si="194"/>
        <v>女</v>
      </c>
      <c r="E412" s="6" t="str">
        <f>"1989-04-01"</f>
        <v>1989-04-01</v>
      </c>
      <c r="F412" s="6" t="str">
        <f aca="true" t="shared" si="198" ref="F412:F416">"海南医学院"</f>
        <v>海南医学院</v>
      </c>
      <c r="G412" s="6" t="str">
        <f t="shared" si="195"/>
        <v>护理学</v>
      </c>
      <c r="H412" s="6" t="str">
        <f t="shared" si="197"/>
        <v>大专</v>
      </c>
      <c r="I412" s="8" t="s">
        <v>12</v>
      </c>
    </row>
    <row r="413" spans="1:9" ht="24" customHeight="1">
      <c r="A413" s="5">
        <v>411</v>
      </c>
      <c r="B413" s="6" t="s">
        <v>29</v>
      </c>
      <c r="C413" s="6" t="str">
        <f>"吴火荣"</f>
        <v>吴火荣</v>
      </c>
      <c r="D413" s="6" t="str">
        <f t="shared" si="194"/>
        <v>女</v>
      </c>
      <c r="E413" s="6" t="str">
        <f>"1992-01-12"</f>
        <v>1992-01-12</v>
      </c>
      <c r="F413" s="6" t="str">
        <f>"广东医科大学"</f>
        <v>广东医科大学</v>
      </c>
      <c r="G413" s="6" t="str">
        <f t="shared" si="195"/>
        <v>护理学</v>
      </c>
      <c r="H413" s="6" t="str">
        <f t="shared" si="196"/>
        <v>本科</v>
      </c>
      <c r="I413" s="8" t="s">
        <v>12</v>
      </c>
    </row>
    <row r="414" spans="1:9" ht="24" customHeight="1">
      <c r="A414" s="5">
        <v>412</v>
      </c>
      <c r="B414" s="6" t="s">
        <v>29</v>
      </c>
      <c r="C414" s="6" t="str">
        <f>"林子能"</f>
        <v>林子能</v>
      </c>
      <c r="D414" s="6" t="str">
        <f>"男"</f>
        <v>男</v>
      </c>
      <c r="E414" s="6" t="str">
        <f>"1994-08-11"</f>
        <v>1994-08-11</v>
      </c>
      <c r="F414" s="6" t="str">
        <f>"江西科技学院"</f>
        <v>江西科技学院</v>
      </c>
      <c r="G414" s="6" t="str">
        <f aca="true" t="shared" si="199" ref="G414:G418">"护理"</f>
        <v>护理</v>
      </c>
      <c r="H414" s="6" t="str">
        <f t="shared" si="197"/>
        <v>大专</v>
      </c>
      <c r="I414" s="8" t="s">
        <v>16</v>
      </c>
    </row>
    <row r="415" spans="1:9" ht="24" customHeight="1">
      <c r="A415" s="5">
        <v>413</v>
      </c>
      <c r="B415" s="6" t="s">
        <v>29</v>
      </c>
      <c r="C415" s="6" t="str">
        <f>"廖燕妮"</f>
        <v>廖燕妮</v>
      </c>
      <c r="D415" s="6" t="str">
        <f aca="true" t="shared" si="200" ref="D415:D422">"女"</f>
        <v>女</v>
      </c>
      <c r="E415" s="6" t="str">
        <f>"1991-03-08"</f>
        <v>1991-03-08</v>
      </c>
      <c r="F415" s="6" t="str">
        <f t="shared" si="198"/>
        <v>海南医学院</v>
      </c>
      <c r="G415" s="6" t="str">
        <f aca="true" t="shared" si="201" ref="G415:G419">"护理学"</f>
        <v>护理学</v>
      </c>
      <c r="H415" s="6" t="str">
        <f>"本科"</f>
        <v>本科</v>
      </c>
      <c r="I415" s="8" t="s">
        <v>12</v>
      </c>
    </row>
    <row r="416" spans="1:9" ht="24" customHeight="1">
      <c r="A416" s="5">
        <v>414</v>
      </c>
      <c r="B416" s="6" t="s">
        <v>29</v>
      </c>
      <c r="C416" s="6" t="str">
        <f>"陈嘉玲"</f>
        <v>陈嘉玲</v>
      </c>
      <c r="D416" s="6" t="str">
        <f t="shared" si="200"/>
        <v>女</v>
      </c>
      <c r="E416" s="6" t="str">
        <f>"1989-04-16"</f>
        <v>1989-04-16</v>
      </c>
      <c r="F416" s="6" t="str">
        <f t="shared" si="198"/>
        <v>海南医学院</v>
      </c>
      <c r="G416" s="6" t="str">
        <f t="shared" si="199"/>
        <v>护理</v>
      </c>
      <c r="H416" s="6" t="str">
        <f aca="true" t="shared" si="202" ref="H416:H420">"大专"</f>
        <v>大专</v>
      </c>
      <c r="I416" s="8" t="s">
        <v>12</v>
      </c>
    </row>
    <row r="417" spans="1:9" ht="24" customHeight="1">
      <c r="A417" s="5">
        <v>415</v>
      </c>
      <c r="B417" s="6" t="s">
        <v>29</v>
      </c>
      <c r="C417" s="6" t="str">
        <f>"李子豪"</f>
        <v>李子豪</v>
      </c>
      <c r="D417" s="6" t="str">
        <f>"男"</f>
        <v>男</v>
      </c>
      <c r="E417" s="6" t="str">
        <f>"1999-05-21"</f>
        <v>1999-05-21</v>
      </c>
      <c r="F417" s="6" t="str">
        <f>"长沙民政职业技术学院"</f>
        <v>长沙民政职业技术学院</v>
      </c>
      <c r="G417" s="6" t="str">
        <f t="shared" si="201"/>
        <v>护理学</v>
      </c>
      <c r="H417" s="6" t="str">
        <f t="shared" si="202"/>
        <v>大专</v>
      </c>
      <c r="I417" s="8" t="s">
        <v>16</v>
      </c>
    </row>
    <row r="418" spans="1:9" ht="24" customHeight="1">
      <c r="A418" s="5">
        <v>416</v>
      </c>
      <c r="B418" s="6" t="s">
        <v>29</v>
      </c>
      <c r="C418" s="6" t="str">
        <f>"朱少妹"</f>
        <v>朱少妹</v>
      </c>
      <c r="D418" s="6" t="str">
        <f t="shared" si="200"/>
        <v>女</v>
      </c>
      <c r="E418" s="6" t="str">
        <f>"1989-09-20"</f>
        <v>1989-09-20</v>
      </c>
      <c r="F418" s="6" t="str">
        <f>"海南省医学院"</f>
        <v>海南省医学院</v>
      </c>
      <c r="G418" s="6" t="str">
        <f t="shared" si="199"/>
        <v>护理</v>
      </c>
      <c r="H418" s="6" t="str">
        <f t="shared" si="202"/>
        <v>大专</v>
      </c>
      <c r="I418" s="8" t="s">
        <v>12</v>
      </c>
    </row>
    <row r="419" spans="1:9" ht="24" customHeight="1">
      <c r="A419" s="5">
        <v>417</v>
      </c>
      <c r="B419" s="6" t="s">
        <v>29</v>
      </c>
      <c r="C419" s="6" t="str">
        <f>"许晓运"</f>
        <v>许晓运</v>
      </c>
      <c r="D419" s="6" t="str">
        <f t="shared" si="200"/>
        <v>女</v>
      </c>
      <c r="E419" s="6" t="str">
        <f>"1990-06-05"</f>
        <v>1990-06-05</v>
      </c>
      <c r="F419" s="6" t="str">
        <f aca="true" t="shared" si="203" ref="F419:F423">"海南医学院"</f>
        <v>海南医学院</v>
      </c>
      <c r="G419" s="6" t="str">
        <f t="shared" si="201"/>
        <v>护理学</v>
      </c>
      <c r="H419" s="6" t="str">
        <f t="shared" si="202"/>
        <v>大专</v>
      </c>
      <c r="I419" s="8" t="s">
        <v>12</v>
      </c>
    </row>
    <row r="420" spans="1:9" ht="24" customHeight="1">
      <c r="A420" s="5">
        <v>418</v>
      </c>
      <c r="B420" s="6" t="s">
        <v>29</v>
      </c>
      <c r="C420" s="6" t="str">
        <f>"罗慧虹"</f>
        <v>罗慧虹</v>
      </c>
      <c r="D420" s="6" t="str">
        <f t="shared" si="200"/>
        <v>女</v>
      </c>
      <c r="E420" s="6" t="str">
        <f>"1997-01-20"</f>
        <v>1997-01-20</v>
      </c>
      <c r="F420" s="6" t="str">
        <f>"海南省第二卫生学校"</f>
        <v>海南省第二卫生学校</v>
      </c>
      <c r="G420" s="6" t="str">
        <f>"护理"</f>
        <v>护理</v>
      </c>
      <c r="H420" s="6" t="str">
        <f t="shared" si="202"/>
        <v>大专</v>
      </c>
      <c r="I420" s="8" t="s">
        <v>12</v>
      </c>
    </row>
    <row r="421" spans="1:9" ht="24" customHeight="1">
      <c r="A421" s="5">
        <v>419</v>
      </c>
      <c r="B421" s="6" t="s">
        <v>29</v>
      </c>
      <c r="C421" s="6" t="str">
        <f>"郑小曼"</f>
        <v>郑小曼</v>
      </c>
      <c r="D421" s="6" t="str">
        <f t="shared" si="200"/>
        <v>女</v>
      </c>
      <c r="E421" s="6" t="str">
        <f>"1990-06-17"</f>
        <v>1990-06-17</v>
      </c>
      <c r="F421" s="6" t="str">
        <f t="shared" si="203"/>
        <v>海南医学院</v>
      </c>
      <c r="G421" s="6" t="str">
        <f>"护理"</f>
        <v>护理</v>
      </c>
      <c r="H421" s="6" t="str">
        <f aca="true" t="shared" si="204" ref="H421:H426">"本科"</f>
        <v>本科</v>
      </c>
      <c r="I421" s="8" t="s">
        <v>12</v>
      </c>
    </row>
    <row r="422" spans="1:9" ht="24" customHeight="1">
      <c r="A422" s="5">
        <v>420</v>
      </c>
      <c r="B422" s="6" t="s">
        <v>29</v>
      </c>
      <c r="C422" s="6" t="str">
        <f>"林海榆"</f>
        <v>林海榆</v>
      </c>
      <c r="D422" s="6" t="str">
        <f t="shared" si="200"/>
        <v>女</v>
      </c>
      <c r="E422" s="6" t="str">
        <f>"1997-06-28"</f>
        <v>1997-06-28</v>
      </c>
      <c r="F422" s="6" t="str">
        <f>"海南省卫生学校"</f>
        <v>海南省卫生学校</v>
      </c>
      <c r="G422" s="6" t="str">
        <f>"护理学"</f>
        <v>护理学</v>
      </c>
      <c r="H422" s="6" t="str">
        <f>"大专"</f>
        <v>大专</v>
      </c>
      <c r="I422" s="8" t="s">
        <v>12</v>
      </c>
    </row>
    <row r="423" spans="1:9" ht="24" customHeight="1">
      <c r="A423" s="5">
        <v>421</v>
      </c>
      <c r="B423" s="6" t="s">
        <v>30</v>
      </c>
      <c r="C423" s="6" t="str">
        <f>"李显"</f>
        <v>李显</v>
      </c>
      <c r="D423" s="6" t="str">
        <f aca="true" t="shared" si="205" ref="D423:D426">"男"</f>
        <v>男</v>
      </c>
      <c r="E423" s="6" t="str">
        <f>"1998-09-10"</f>
        <v>1998-09-10</v>
      </c>
      <c r="F423" s="6" t="str">
        <f t="shared" si="203"/>
        <v>海南医学院</v>
      </c>
      <c r="G423" s="6" t="str">
        <f aca="true" t="shared" si="206" ref="G423:G425">"劳动与社会保障"</f>
        <v>劳动与社会保障</v>
      </c>
      <c r="H423" s="6" t="str">
        <f t="shared" si="204"/>
        <v>本科</v>
      </c>
      <c r="I423" s="8" t="s">
        <v>16</v>
      </c>
    </row>
    <row r="424" spans="1:9" ht="24" customHeight="1">
      <c r="A424" s="5">
        <v>422</v>
      </c>
      <c r="B424" s="6" t="s">
        <v>30</v>
      </c>
      <c r="C424" s="6" t="str">
        <f>"姜祖昱"</f>
        <v>姜祖昱</v>
      </c>
      <c r="D424" s="6" t="str">
        <f t="shared" si="205"/>
        <v>男</v>
      </c>
      <c r="E424" s="6" t="str">
        <f>"1996-03-03"</f>
        <v>1996-03-03</v>
      </c>
      <c r="F424" s="6" t="str">
        <f>"河北大学工商学院"</f>
        <v>河北大学工商学院</v>
      </c>
      <c r="G424" s="6" t="str">
        <f t="shared" si="206"/>
        <v>劳动与社会保障</v>
      </c>
      <c r="H424" s="6" t="str">
        <f t="shared" si="204"/>
        <v>本科</v>
      </c>
      <c r="I424" s="8" t="s">
        <v>16</v>
      </c>
    </row>
    <row r="425" spans="1:9" ht="24" customHeight="1">
      <c r="A425" s="5">
        <v>423</v>
      </c>
      <c r="B425" s="6" t="s">
        <v>30</v>
      </c>
      <c r="C425" s="6" t="str">
        <f>"符彩燕"</f>
        <v>符彩燕</v>
      </c>
      <c r="D425" s="6" t="str">
        <f aca="true" t="shared" si="207" ref="D425:D429">"女"</f>
        <v>女</v>
      </c>
      <c r="E425" s="6" t="str">
        <f>"1992-04-16"</f>
        <v>1992-04-16</v>
      </c>
      <c r="F425" s="6" t="str">
        <f>"天津职业技术师范大学"</f>
        <v>天津职业技术师范大学</v>
      </c>
      <c r="G425" s="6" t="str">
        <f t="shared" si="206"/>
        <v>劳动与社会保障</v>
      </c>
      <c r="H425" s="6" t="str">
        <f t="shared" si="204"/>
        <v>本科</v>
      </c>
      <c r="I425" s="8" t="s">
        <v>16</v>
      </c>
    </row>
    <row r="426" spans="1:9" ht="24" customHeight="1">
      <c r="A426" s="5">
        <v>424</v>
      </c>
      <c r="B426" s="6" t="s">
        <v>30</v>
      </c>
      <c r="C426" s="6" t="str">
        <f>"王齐"</f>
        <v>王齐</v>
      </c>
      <c r="D426" s="6" t="str">
        <f t="shared" si="205"/>
        <v>男</v>
      </c>
      <c r="E426" s="6" t="str">
        <f>"1994-11-01"</f>
        <v>1994-11-01</v>
      </c>
      <c r="F426" s="6" t="str">
        <f aca="true" t="shared" si="208" ref="F426:F432">"海南医学院"</f>
        <v>海南医学院</v>
      </c>
      <c r="G426" s="6" t="str">
        <f>"劳动与社会保障（医疗保险方向）"</f>
        <v>劳动与社会保障（医疗保险方向）</v>
      </c>
      <c r="H426" s="6" t="str">
        <f t="shared" si="204"/>
        <v>本科</v>
      </c>
      <c r="I426" s="8" t="s">
        <v>16</v>
      </c>
    </row>
    <row r="427" spans="1:9" ht="24" customHeight="1">
      <c r="A427" s="5">
        <v>425</v>
      </c>
      <c r="B427" s="6" t="s">
        <v>30</v>
      </c>
      <c r="C427" s="6" t="str">
        <f>"王冬冬"</f>
        <v>王冬冬</v>
      </c>
      <c r="D427" s="6" t="str">
        <f t="shared" si="207"/>
        <v>女</v>
      </c>
      <c r="E427" s="6" t="str">
        <f>"1993-12-22"</f>
        <v>1993-12-22</v>
      </c>
      <c r="F427" s="6" t="str">
        <f>"甘肃农业大学"</f>
        <v>甘肃农业大学</v>
      </c>
      <c r="G427" s="6" t="str">
        <f>"社会保障"</f>
        <v>社会保障</v>
      </c>
      <c r="H427" s="6" t="str">
        <f>"研究生"</f>
        <v>研究生</v>
      </c>
      <c r="I427" s="8" t="s">
        <v>16</v>
      </c>
    </row>
    <row r="428" spans="1:9" ht="24" customHeight="1">
      <c r="A428" s="5">
        <v>426</v>
      </c>
      <c r="B428" s="6" t="s">
        <v>30</v>
      </c>
      <c r="C428" s="6" t="str">
        <f>"郭瑶"</f>
        <v>郭瑶</v>
      </c>
      <c r="D428" s="6" t="str">
        <f t="shared" si="207"/>
        <v>女</v>
      </c>
      <c r="E428" s="6" t="str">
        <f>"1996-12-25"</f>
        <v>1996-12-25</v>
      </c>
      <c r="F428" s="6" t="str">
        <f t="shared" si="208"/>
        <v>海南医学院</v>
      </c>
      <c r="G428" s="6" t="str">
        <f aca="true" t="shared" si="209" ref="G428:G437">"劳动与社会保障"</f>
        <v>劳动与社会保障</v>
      </c>
      <c r="H428" s="6" t="str">
        <f aca="true" t="shared" si="210" ref="H428:H452">"本科"</f>
        <v>本科</v>
      </c>
      <c r="I428" s="8" t="s">
        <v>16</v>
      </c>
    </row>
    <row r="429" spans="1:9" ht="24" customHeight="1">
      <c r="A429" s="5">
        <v>427</v>
      </c>
      <c r="B429" s="6" t="s">
        <v>30</v>
      </c>
      <c r="C429" s="6" t="str">
        <f>"文晓"</f>
        <v>文晓</v>
      </c>
      <c r="D429" s="6" t="str">
        <f t="shared" si="207"/>
        <v>女</v>
      </c>
      <c r="E429" s="6" t="str">
        <f>"1995-04-06"</f>
        <v>1995-04-06</v>
      </c>
      <c r="F429" s="6" t="str">
        <f t="shared" si="208"/>
        <v>海南医学院</v>
      </c>
      <c r="G429" s="6" t="str">
        <f t="shared" si="209"/>
        <v>劳动与社会保障</v>
      </c>
      <c r="H429" s="6" t="str">
        <f t="shared" si="210"/>
        <v>本科</v>
      </c>
      <c r="I429" s="8" t="s">
        <v>16</v>
      </c>
    </row>
    <row r="430" spans="1:9" ht="24" customHeight="1">
      <c r="A430" s="5">
        <v>428</v>
      </c>
      <c r="B430" s="6" t="s">
        <v>30</v>
      </c>
      <c r="C430" s="6" t="str">
        <f>"邱诚"</f>
        <v>邱诚</v>
      </c>
      <c r="D430" s="6" t="str">
        <f>"男"</f>
        <v>男</v>
      </c>
      <c r="E430" s="6" t="str">
        <f>"1998-10-14"</f>
        <v>1998-10-14</v>
      </c>
      <c r="F430" s="6" t="str">
        <f t="shared" si="208"/>
        <v>海南医学院</v>
      </c>
      <c r="G430" s="6" t="str">
        <f t="shared" si="209"/>
        <v>劳动与社会保障</v>
      </c>
      <c r="H430" s="6" t="str">
        <f t="shared" si="210"/>
        <v>本科</v>
      </c>
      <c r="I430" s="8" t="s">
        <v>16</v>
      </c>
    </row>
    <row r="431" spans="1:9" ht="24" customHeight="1">
      <c r="A431" s="5">
        <v>429</v>
      </c>
      <c r="B431" s="6" t="s">
        <v>30</v>
      </c>
      <c r="C431" s="6" t="str">
        <f>"李璐璐"</f>
        <v>李璐璐</v>
      </c>
      <c r="D431" s="6" t="str">
        <f aca="true" t="shared" si="211" ref="D431:D435">"女"</f>
        <v>女</v>
      </c>
      <c r="E431" s="6" t="str">
        <f>"1997-09-07"</f>
        <v>1997-09-07</v>
      </c>
      <c r="F431" s="6" t="str">
        <f t="shared" si="208"/>
        <v>海南医学院</v>
      </c>
      <c r="G431" s="6" t="str">
        <f t="shared" si="209"/>
        <v>劳动与社会保障</v>
      </c>
      <c r="H431" s="6" t="str">
        <f t="shared" si="210"/>
        <v>本科</v>
      </c>
      <c r="I431" s="8" t="s">
        <v>16</v>
      </c>
    </row>
    <row r="432" spans="1:9" ht="24" customHeight="1">
      <c r="A432" s="5">
        <v>430</v>
      </c>
      <c r="B432" s="6" t="s">
        <v>30</v>
      </c>
      <c r="C432" s="6" t="str">
        <f>"王德兴"</f>
        <v>王德兴</v>
      </c>
      <c r="D432" s="6" t="str">
        <f>"男"</f>
        <v>男</v>
      </c>
      <c r="E432" s="6" t="str">
        <f>"1997-12-07"</f>
        <v>1997-12-07</v>
      </c>
      <c r="F432" s="6" t="str">
        <f t="shared" si="208"/>
        <v>海南医学院</v>
      </c>
      <c r="G432" s="6" t="str">
        <f t="shared" si="209"/>
        <v>劳动与社会保障</v>
      </c>
      <c r="H432" s="6" t="str">
        <f t="shared" si="210"/>
        <v>本科</v>
      </c>
      <c r="I432" s="8" t="s">
        <v>16</v>
      </c>
    </row>
    <row r="433" spans="1:9" ht="24" customHeight="1">
      <c r="A433" s="5">
        <v>431</v>
      </c>
      <c r="B433" s="6" t="s">
        <v>30</v>
      </c>
      <c r="C433" s="6" t="str">
        <f>"谭玥"</f>
        <v>谭玥</v>
      </c>
      <c r="D433" s="6" t="str">
        <f t="shared" si="211"/>
        <v>女</v>
      </c>
      <c r="E433" s="6" t="str">
        <f>"1998-05-31"</f>
        <v>1998-05-31</v>
      </c>
      <c r="F433" s="6" t="str">
        <f>"中国劳动关系学院"</f>
        <v>中国劳动关系学院</v>
      </c>
      <c r="G433" s="6" t="str">
        <f t="shared" si="209"/>
        <v>劳动与社会保障</v>
      </c>
      <c r="H433" s="6" t="str">
        <f t="shared" si="210"/>
        <v>本科</v>
      </c>
      <c r="I433" s="8" t="s">
        <v>16</v>
      </c>
    </row>
    <row r="434" spans="1:9" ht="24" customHeight="1">
      <c r="A434" s="5">
        <v>432</v>
      </c>
      <c r="B434" s="6" t="s">
        <v>30</v>
      </c>
      <c r="C434" s="6" t="str">
        <f>"赵雪云"</f>
        <v>赵雪云</v>
      </c>
      <c r="D434" s="6" t="str">
        <f t="shared" si="211"/>
        <v>女</v>
      </c>
      <c r="E434" s="6" t="str">
        <f>"1995-06-03"</f>
        <v>1995-06-03</v>
      </c>
      <c r="F434" s="6" t="str">
        <f aca="true" t="shared" si="212" ref="F434:F437">"海南医学院"</f>
        <v>海南医学院</v>
      </c>
      <c r="G434" s="6" t="str">
        <f t="shared" si="209"/>
        <v>劳动与社会保障</v>
      </c>
      <c r="H434" s="6" t="str">
        <f t="shared" si="210"/>
        <v>本科</v>
      </c>
      <c r="I434" s="8" t="s">
        <v>16</v>
      </c>
    </row>
    <row r="435" spans="1:9" ht="24" customHeight="1">
      <c r="A435" s="5">
        <v>433</v>
      </c>
      <c r="B435" s="6" t="s">
        <v>30</v>
      </c>
      <c r="C435" s="6" t="str">
        <f>"肖明燕"</f>
        <v>肖明燕</v>
      </c>
      <c r="D435" s="6" t="str">
        <f t="shared" si="211"/>
        <v>女</v>
      </c>
      <c r="E435" s="6" t="str">
        <f>"1998-06-05"</f>
        <v>1998-06-05</v>
      </c>
      <c r="F435" s="6" t="str">
        <f t="shared" si="212"/>
        <v>海南医学院</v>
      </c>
      <c r="G435" s="6" t="str">
        <f t="shared" si="209"/>
        <v>劳动与社会保障</v>
      </c>
      <c r="H435" s="6" t="str">
        <f t="shared" si="210"/>
        <v>本科</v>
      </c>
      <c r="I435" s="8" t="s">
        <v>16</v>
      </c>
    </row>
    <row r="436" spans="1:9" ht="24" customHeight="1">
      <c r="A436" s="5">
        <v>434</v>
      </c>
      <c r="B436" s="6" t="s">
        <v>30</v>
      </c>
      <c r="C436" s="6" t="str">
        <f>"陈明耘"</f>
        <v>陈明耘</v>
      </c>
      <c r="D436" s="6" t="str">
        <f>"男"</f>
        <v>男</v>
      </c>
      <c r="E436" s="6" t="str">
        <f>"1997-09-24"</f>
        <v>1997-09-24</v>
      </c>
      <c r="F436" s="6" t="str">
        <f>"山西医科大学"</f>
        <v>山西医科大学</v>
      </c>
      <c r="G436" s="6" t="str">
        <f t="shared" si="209"/>
        <v>劳动与社会保障</v>
      </c>
      <c r="H436" s="6" t="str">
        <f t="shared" si="210"/>
        <v>本科</v>
      </c>
      <c r="I436" s="8" t="s">
        <v>16</v>
      </c>
    </row>
    <row r="437" spans="1:9" ht="24" customHeight="1">
      <c r="A437" s="5">
        <v>435</v>
      </c>
      <c r="B437" s="6" t="s">
        <v>30</v>
      </c>
      <c r="C437" s="6" t="str">
        <f>"钟林秀"</f>
        <v>钟林秀</v>
      </c>
      <c r="D437" s="6" t="str">
        <f aca="true" t="shared" si="213" ref="D437:D448">"女"</f>
        <v>女</v>
      </c>
      <c r="E437" s="6" t="str">
        <f>"1992-08-02"</f>
        <v>1992-08-02</v>
      </c>
      <c r="F437" s="6" t="str">
        <f t="shared" si="212"/>
        <v>海南医学院</v>
      </c>
      <c r="G437" s="6" t="str">
        <f t="shared" si="209"/>
        <v>劳动与社会保障</v>
      </c>
      <c r="H437" s="6" t="str">
        <f t="shared" si="210"/>
        <v>本科</v>
      </c>
      <c r="I437" s="8" t="s">
        <v>16</v>
      </c>
    </row>
    <row r="438" spans="1:9" ht="24" customHeight="1">
      <c r="A438" s="5">
        <v>436</v>
      </c>
      <c r="B438" s="6" t="s">
        <v>30</v>
      </c>
      <c r="C438" s="6" t="str">
        <f>"陈慧"</f>
        <v>陈慧</v>
      </c>
      <c r="D438" s="6" t="str">
        <f t="shared" si="213"/>
        <v>女</v>
      </c>
      <c r="E438" s="6" t="str">
        <f>"1999-06-13"</f>
        <v>1999-06-13</v>
      </c>
      <c r="F438" s="6" t="str">
        <f>"江西师范大学"</f>
        <v>江西师范大学</v>
      </c>
      <c r="G438" s="6" t="str">
        <f>"劳动与社会保障专业"</f>
        <v>劳动与社会保障专业</v>
      </c>
      <c r="H438" s="6" t="str">
        <f t="shared" si="210"/>
        <v>本科</v>
      </c>
      <c r="I438" s="8" t="s">
        <v>16</v>
      </c>
    </row>
    <row r="439" spans="1:9" ht="24" customHeight="1">
      <c r="A439" s="5">
        <v>437</v>
      </c>
      <c r="B439" s="6" t="s">
        <v>30</v>
      </c>
      <c r="C439" s="6" t="str">
        <f>"连晓雨"</f>
        <v>连晓雨</v>
      </c>
      <c r="D439" s="6" t="str">
        <f t="shared" si="213"/>
        <v>女</v>
      </c>
      <c r="E439" s="6" t="str">
        <f>"1996-07-21"</f>
        <v>1996-07-21</v>
      </c>
      <c r="F439" s="6" t="str">
        <f>"郑州轻工业大学"</f>
        <v>郑州轻工业大学</v>
      </c>
      <c r="G439" s="6" t="str">
        <f aca="true" t="shared" si="214" ref="G439:G444">"劳动与社会保障"</f>
        <v>劳动与社会保障</v>
      </c>
      <c r="H439" s="6" t="str">
        <f t="shared" si="210"/>
        <v>本科</v>
      </c>
      <c r="I439" s="8" t="s">
        <v>16</v>
      </c>
    </row>
    <row r="440" spans="1:9" ht="24" customHeight="1">
      <c r="A440" s="5">
        <v>438</v>
      </c>
      <c r="B440" s="6" t="s">
        <v>30</v>
      </c>
      <c r="C440" s="6" t="str">
        <f>"王依依"</f>
        <v>王依依</v>
      </c>
      <c r="D440" s="6" t="str">
        <f t="shared" si="213"/>
        <v>女</v>
      </c>
      <c r="E440" s="6" t="str">
        <f>"1998-01-19"</f>
        <v>1998-01-19</v>
      </c>
      <c r="F440" s="6" t="str">
        <f aca="true" t="shared" si="215" ref="F440:F442">"海南医学院"</f>
        <v>海南医学院</v>
      </c>
      <c r="G440" s="6" t="str">
        <f t="shared" si="214"/>
        <v>劳动与社会保障</v>
      </c>
      <c r="H440" s="6" t="str">
        <f t="shared" si="210"/>
        <v>本科</v>
      </c>
      <c r="I440" s="8" t="s">
        <v>16</v>
      </c>
    </row>
    <row r="441" spans="1:9" ht="24" customHeight="1">
      <c r="A441" s="5">
        <v>439</v>
      </c>
      <c r="B441" s="6" t="s">
        <v>30</v>
      </c>
      <c r="C441" s="6" t="str">
        <f>"朱福珍"</f>
        <v>朱福珍</v>
      </c>
      <c r="D441" s="6" t="str">
        <f t="shared" si="213"/>
        <v>女</v>
      </c>
      <c r="E441" s="6" t="str">
        <f>"1994-10-28"</f>
        <v>1994-10-28</v>
      </c>
      <c r="F441" s="6" t="str">
        <f t="shared" si="215"/>
        <v>海南医学院</v>
      </c>
      <c r="G441" s="6" t="str">
        <f t="shared" si="214"/>
        <v>劳动与社会保障</v>
      </c>
      <c r="H441" s="6" t="str">
        <f t="shared" si="210"/>
        <v>本科</v>
      </c>
      <c r="I441" s="8" t="s">
        <v>16</v>
      </c>
    </row>
    <row r="442" spans="1:9" ht="24" customHeight="1">
      <c r="A442" s="5">
        <v>440</v>
      </c>
      <c r="B442" s="6" t="s">
        <v>30</v>
      </c>
      <c r="C442" s="6" t="str">
        <f>"胡小棋"</f>
        <v>胡小棋</v>
      </c>
      <c r="D442" s="6" t="str">
        <f t="shared" si="213"/>
        <v>女</v>
      </c>
      <c r="E442" s="6" t="str">
        <f>"1995-06-12"</f>
        <v>1995-06-12</v>
      </c>
      <c r="F442" s="6" t="str">
        <f t="shared" si="215"/>
        <v>海南医学院</v>
      </c>
      <c r="G442" s="6" t="str">
        <f t="shared" si="214"/>
        <v>劳动与社会保障</v>
      </c>
      <c r="H442" s="6" t="str">
        <f t="shared" si="210"/>
        <v>本科</v>
      </c>
      <c r="I442" s="8" t="s">
        <v>16</v>
      </c>
    </row>
    <row r="443" spans="1:9" ht="24" customHeight="1">
      <c r="A443" s="5">
        <v>441</v>
      </c>
      <c r="B443" s="6" t="s">
        <v>30</v>
      </c>
      <c r="C443" s="6" t="str">
        <f>"邱上娥"</f>
        <v>邱上娥</v>
      </c>
      <c r="D443" s="6" t="str">
        <f t="shared" si="213"/>
        <v>女</v>
      </c>
      <c r="E443" s="6" t="str">
        <f>"1996-09-23"</f>
        <v>1996-09-23</v>
      </c>
      <c r="F443" s="6" t="str">
        <f>"山西医科大学"</f>
        <v>山西医科大学</v>
      </c>
      <c r="G443" s="6" t="str">
        <f t="shared" si="214"/>
        <v>劳动与社会保障</v>
      </c>
      <c r="H443" s="6" t="str">
        <f t="shared" si="210"/>
        <v>本科</v>
      </c>
      <c r="I443" s="8" t="s">
        <v>16</v>
      </c>
    </row>
    <row r="444" spans="1:9" ht="24" customHeight="1">
      <c r="A444" s="5">
        <v>442</v>
      </c>
      <c r="B444" s="6" t="s">
        <v>30</v>
      </c>
      <c r="C444" s="6" t="str">
        <f>"王梓轩"</f>
        <v>王梓轩</v>
      </c>
      <c r="D444" s="6" t="str">
        <f t="shared" si="213"/>
        <v>女</v>
      </c>
      <c r="E444" s="6" t="str">
        <f>"1991-04-09"</f>
        <v>1991-04-09</v>
      </c>
      <c r="F444" s="6" t="str">
        <f>"昆明医科大学海源学院"</f>
        <v>昆明医科大学海源学院</v>
      </c>
      <c r="G444" s="6" t="str">
        <f t="shared" si="214"/>
        <v>劳动与社会保障</v>
      </c>
      <c r="H444" s="6" t="str">
        <f t="shared" si="210"/>
        <v>本科</v>
      </c>
      <c r="I444" s="8" t="s">
        <v>16</v>
      </c>
    </row>
    <row r="445" spans="1:9" ht="24" customHeight="1">
      <c r="A445" s="5">
        <v>443</v>
      </c>
      <c r="B445" s="6" t="s">
        <v>30</v>
      </c>
      <c r="C445" s="6" t="str">
        <f>"颜秀娟"</f>
        <v>颜秀娟</v>
      </c>
      <c r="D445" s="6" t="str">
        <f t="shared" si="213"/>
        <v>女</v>
      </c>
      <c r="E445" s="6" t="str">
        <f>"1993-03-17"</f>
        <v>1993-03-17</v>
      </c>
      <c r="F445" s="6" t="str">
        <f aca="true" t="shared" si="216" ref="F445:F451">"海南医学院"</f>
        <v>海南医学院</v>
      </c>
      <c r="G445" s="6" t="str">
        <f>"劳动与社会保障（医疗保险方向）"</f>
        <v>劳动与社会保障（医疗保险方向）</v>
      </c>
      <c r="H445" s="6" t="str">
        <f t="shared" si="210"/>
        <v>本科</v>
      </c>
      <c r="I445" s="8" t="s">
        <v>16</v>
      </c>
    </row>
    <row r="446" spans="1:9" ht="24" customHeight="1">
      <c r="A446" s="5">
        <v>444</v>
      </c>
      <c r="B446" s="6" t="s">
        <v>30</v>
      </c>
      <c r="C446" s="6" t="str">
        <f>"许桂琴"</f>
        <v>许桂琴</v>
      </c>
      <c r="D446" s="6" t="str">
        <f t="shared" si="213"/>
        <v>女</v>
      </c>
      <c r="E446" s="6" t="str">
        <f>"1991-11-15"</f>
        <v>1991-11-15</v>
      </c>
      <c r="F446" s="6" t="str">
        <f t="shared" si="216"/>
        <v>海南医学院</v>
      </c>
      <c r="G446" s="6" t="str">
        <f>"劳动与社会保障（医疗保险方向）"</f>
        <v>劳动与社会保障（医疗保险方向）</v>
      </c>
      <c r="H446" s="6" t="str">
        <f t="shared" si="210"/>
        <v>本科</v>
      </c>
      <c r="I446" s="8" t="s">
        <v>16</v>
      </c>
    </row>
    <row r="447" spans="1:9" ht="24" customHeight="1">
      <c r="A447" s="5">
        <v>445</v>
      </c>
      <c r="B447" s="6" t="s">
        <v>30</v>
      </c>
      <c r="C447" s="6" t="str">
        <f>"曾丽莉"</f>
        <v>曾丽莉</v>
      </c>
      <c r="D447" s="6" t="str">
        <f t="shared" si="213"/>
        <v>女</v>
      </c>
      <c r="E447" s="6" t="str">
        <f>"1998-03-16"</f>
        <v>1998-03-16</v>
      </c>
      <c r="F447" s="6" t="str">
        <f t="shared" si="216"/>
        <v>海南医学院</v>
      </c>
      <c r="G447" s="6" t="str">
        <f aca="true" t="shared" si="217" ref="G447:G450">"劳动与社会保障"</f>
        <v>劳动与社会保障</v>
      </c>
      <c r="H447" s="6" t="str">
        <f t="shared" si="210"/>
        <v>本科</v>
      </c>
      <c r="I447" s="8" t="s">
        <v>16</v>
      </c>
    </row>
    <row r="448" spans="1:9" ht="24" customHeight="1">
      <c r="A448" s="5">
        <v>446</v>
      </c>
      <c r="B448" s="6" t="s">
        <v>30</v>
      </c>
      <c r="C448" s="6" t="str">
        <f>"陈慧玮"</f>
        <v>陈慧玮</v>
      </c>
      <c r="D448" s="6" t="str">
        <f t="shared" si="213"/>
        <v>女</v>
      </c>
      <c r="E448" s="6" t="str">
        <f>"1996-01-03"</f>
        <v>1996-01-03</v>
      </c>
      <c r="F448" s="6" t="str">
        <f t="shared" si="216"/>
        <v>海南医学院</v>
      </c>
      <c r="G448" s="6" t="str">
        <f t="shared" si="217"/>
        <v>劳动与社会保障</v>
      </c>
      <c r="H448" s="6" t="str">
        <f t="shared" si="210"/>
        <v>本科</v>
      </c>
      <c r="I448" s="8" t="s">
        <v>16</v>
      </c>
    </row>
    <row r="449" spans="1:9" ht="24" customHeight="1">
      <c r="A449" s="5">
        <v>447</v>
      </c>
      <c r="B449" s="6" t="s">
        <v>30</v>
      </c>
      <c r="C449" s="6" t="str">
        <f>"王茀刚"</f>
        <v>王茀刚</v>
      </c>
      <c r="D449" s="6" t="str">
        <f aca="true" t="shared" si="218" ref="D449:D453">"男"</f>
        <v>男</v>
      </c>
      <c r="E449" s="6" t="str">
        <f>"1998-09-25"</f>
        <v>1998-09-25</v>
      </c>
      <c r="F449" s="6" t="str">
        <f t="shared" si="216"/>
        <v>海南医学院</v>
      </c>
      <c r="G449" s="6" t="str">
        <f t="shared" si="217"/>
        <v>劳动与社会保障</v>
      </c>
      <c r="H449" s="6" t="str">
        <f t="shared" si="210"/>
        <v>本科</v>
      </c>
      <c r="I449" s="8" t="s">
        <v>16</v>
      </c>
    </row>
    <row r="450" spans="1:9" ht="24" customHeight="1">
      <c r="A450" s="5">
        <v>448</v>
      </c>
      <c r="B450" s="6" t="s">
        <v>30</v>
      </c>
      <c r="C450" s="6" t="str">
        <f>"单川"</f>
        <v>单川</v>
      </c>
      <c r="D450" s="6" t="str">
        <f t="shared" si="218"/>
        <v>男</v>
      </c>
      <c r="E450" s="6" t="str">
        <f>"1995-10-24"</f>
        <v>1995-10-24</v>
      </c>
      <c r="F450" s="6" t="str">
        <f t="shared" si="216"/>
        <v>海南医学院</v>
      </c>
      <c r="G450" s="6" t="str">
        <f t="shared" si="217"/>
        <v>劳动与社会保障</v>
      </c>
      <c r="H450" s="6" t="str">
        <f t="shared" si="210"/>
        <v>本科</v>
      </c>
      <c r="I450" s="8" t="s">
        <v>16</v>
      </c>
    </row>
    <row r="451" spans="1:9" ht="24" customHeight="1">
      <c r="A451" s="5">
        <v>449</v>
      </c>
      <c r="B451" s="6" t="s">
        <v>30</v>
      </c>
      <c r="C451" s="6" t="str">
        <f>"吴丽芳"</f>
        <v>吴丽芳</v>
      </c>
      <c r="D451" s="6" t="str">
        <f aca="true" t="shared" si="219" ref="D451:D456">"女"</f>
        <v>女</v>
      </c>
      <c r="E451" s="6" t="str">
        <f>"1993-02-07"</f>
        <v>1993-02-07</v>
      </c>
      <c r="F451" s="6" t="str">
        <f t="shared" si="216"/>
        <v>海南医学院</v>
      </c>
      <c r="G451" s="6" t="str">
        <f>"劳动与社会保障专业"</f>
        <v>劳动与社会保障专业</v>
      </c>
      <c r="H451" s="6" t="str">
        <f t="shared" si="210"/>
        <v>本科</v>
      </c>
      <c r="I451" s="8" t="s">
        <v>16</v>
      </c>
    </row>
    <row r="452" spans="1:9" ht="24" customHeight="1">
      <c r="A452" s="5">
        <v>450</v>
      </c>
      <c r="B452" s="6" t="s">
        <v>30</v>
      </c>
      <c r="C452" s="6" t="str">
        <f>"林升雅"</f>
        <v>林升雅</v>
      </c>
      <c r="D452" s="6" t="str">
        <f t="shared" si="219"/>
        <v>女</v>
      </c>
      <c r="E452" s="6" t="str">
        <f>"1997-01-01"</f>
        <v>1997-01-01</v>
      </c>
      <c r="F452" s="6" t="str">
        <f>"昆明医科大学海源学院"</f>
        <v>昆明医科大学海源学院</v>
      </c>
      <c r="G452" s="6" t="str">
        <f>"劳动与社会保障"</f>
        <v>劳动与社会保障</v>
      </c>
      <c r="H452" s="6" t="str">
        <f t="shared" si="210"/>
        <v>本科</v>
      </c>
      <c r="I452" s="8" t="s">
        <v>16</v>
      </c>
    </row>
    <row r="453" spans="1:9" ht="24" customHeight="1">
      <c r="A453" s="5">
        <v>451</v>
      </c>
      <c r="B453" s="6" t="s">
        <v>31</v>
      </c>
      <c r="C453" s="6" t="str">
        <f>"林贻杰"</f>
        <v>林贻杰</v>
      </c>
      <c r="D453" s="6" t="str">
        <f t="shared" si="218"/>
        <v>男</v>
      </c>
      <c r="E453" s="6" t="str">
        <f>"1986-11-14"</f>
        <v>1986-11-14</v>
      </c>
      <c r="F453" s="6" t="str">
        <f>"海南省高级技工学校"</f>
        <v>海南省高级技工学校</v>
      </c>
      <c r="G453" s="6" t="str">
        <f>"工业电气自动化"</f>
        <v>工业电气自动化</v>
      </c>
      <c r="H453" s="6" t="str">
        <f>"中专"</f>
        <v>中专</v>
      </c>
      <c r="I453" s="8" t="s">
        <v>12</v>
      </c>
    </row>
    <row r="454" spans="1:9" ht="24" customHeight="1">
      <c r="A454" s="5">
        <v>452</v>
      </c>
      <c r="B454" s="6" t="s">
        <v>32</v>
      </c>
      <c r="C454" s="6" t="str">
        <f>"廖静君"</f>
        <v>廖静君</v>
      </c>
      <c r="D454" s="6" t="str">
        <f t="shared" si="219"/>
        <v>女</v>
      </c>
      <c r="E454" s="6" t="str">
        <f>"1996-02-11"</f>
        <v>1996-02-11</v>
      </c>
      <c r="F454" s="6" t="str">
        <f aca="true" t="shared" si="220" ref="F454:F458">"海南经贸职业技术学院"</f>
        <v>海南经贸职业技术学院</v>
      </c>
      <c r="G454" s="6" t="str">
        <f>"财务管理"</f>
        <v>财务管理</v>
      </c>
      <c r="H454" s="6" t="str">
        <f aca="true" t="shared" si="221" ref="H454:H459">"大专"</f>
        <v>大专</v>
      </c>
      <c r="I454" s="8" t="s">
        <v>12</v>
      </c>
    </row>
    <row r="455" spans="1:9" ht="24" customHeight="1">
      <c r="A455" s="5">
        <v>453</v>
      </c>
      <c r="B455" s="6" t="s">
        <v>32</v>
      </c>
      <c r="C455" s="6" t="str">
        <f>"胡佳慧"</f>
        <v>胡佳慧</v>
      </c>
      <c r="D455" s="6" t="str">
        <f t="shared" si="219"/>
        <v>女</v>
      </c>
      <c r="E455" s="6" t="str">
        <f>"1999-01-18"</f>
        <v>1999-01-18</v>
      </c>
      <c r="F455" s="6" t="str">
        <f>"湖南水利水电职业技术学院"</f>
        <v>湖南水利水电职业技术学院</v>
      </c>
      <c r="G455" s="6" t="str">
        <f aca="true" t="shared" si="222" ref="G455:G457">"会计"</f>
        <v>会计</v>
      </c>
      <c r="H455" s="6" t="str">
        <f t="shared" si="221"/>
        <v>大专</v>
      </c>
      <c r="I455" s="8" t="s">
        <v>12</v>
      </c>
    </row>
    <row r="456" spans="1:9" ht="24" customHeight="1">
      <c r="A456" s="5">
        <v>454</v>
      </c>
      <c r="B456" s="6" t="s">
        <v>32</v>
      </c>
      <c r="C456" s="6" t="str">
        <f>"符帅兵"</f>
        <v>符帅兵</v>
      </c>
      <c r="D456" s="6" t="str">
        <f t="shared" si="219"/>
        <v>女</v>
      </c>
      <c r="E456" s="6" t="str">
        <f>"1998-02-03"</f>
        <v>1998-02-03</v>
      </c>
      <c r="F456" s="6" t="str">
        <f t="shared" si="220"/>
        <v>海南经贸职业技术学院</v>
      </c>
      <c r="G456" s="6" t="str">
        <f t="shared" si="222"/>
        <v>会计</v>
      </c>
      <c r="H456" s="6" t="str">
        <f t="shared" si="221"/>
        <v>大专</v>
      </c>
      <c r="I456" s="8" t="s">
        <v>12</v>
      </c>
    </row>
    <row r="457" spans="1:9" ht="24" customHeight="1">
      <c r="A457" s="5">
        <v>455</v>
      </c>
      <c r="B457" s="6" t="s">
        <v>32</v>
      </c>
      <c r="C457" s="6" t="str">
        <f>"吴挺义"</f>
        <v>吴挺义</v>
      </c>
      <c r="D457" s="6" t="str">
        <f>"男"</f>
        <v>男</v>
      </c>
      <c r="E457" s="6" t="str">
        <f>"1997-06-11"</f>
        <v>1997-06-11</v>
      </c>
      <c r="F457" s="6" t="str">
        <f>"海口经济学院"</f>
        <v>海口经济学院</v>
      </c>
      <c r="G457" s="6" t="str">
        <f t="shared" si="222"/>
        <v>会计</v>
      </c>
      <c r="H457" s="6" t="str">
        <f t="shared" si="221"/>
        <v>大专</v>
      </c>
      <c r="I457" s="8" t="s">
        <v>16</v>
      </c>
    </row>
    <row r="458" spans="1:9" ht="24" customHeight="1">
      <c r="A458" s="5">
        <v>456</v>
      </c>
      <c r="B458" s="6" t="s">
        <v>32</v>
      </c>
      <c r="C458" s="6" t="str">
        <f>"林纹潇"</f>
        <v>林纹潇</v>
      </c>
      <c r="D458" s="6" t="str">
        <f aca="true" t="shared" si="223" ref="D458:D460">"女"</f>
        <v>女</v>
      </c>
      <c r="E458" s="6" t="str">
        <f>"2000-01-20"</f>
        <v>2000-01-20</v>
      </c>
      <c r="F458" s="6" t="str">
        <f t="shared" si="220"/>
        <v>海南经贸职业技术学院</v>
      </c>
      <c r="G458" s="6" t="str">
        <f aca="true" t="shared" si="224" ref="G458:G461">"会计学"</f>
        <v>会计学</v>
      </c>
      <c r="H458" s="6" t="str">
        <f t="shared" si="221"/>
        <v>大专</v>
      </c>
      <c r="I458" s="8" t="s">
        <v>16</v>
      </c>
    </row>
    <row r="459" spans="1:9" ht="24" customHeight="1">
      <c r="A459" s="5">
        <v>457</v>
      </c>
      <c r="B459" s="6" t="s">
        <v>32</v>
      </c>
      <c r="C459" s="6" t="str">
        <f>"李阳宽"</f>
        <v>李阳宽</v>
      </c>
      <c r="D459" s="6" t="str">
        <f t="shared" si="223"/>
        <v>女</v>
      </c>
      <c r="E459" s="6" t="str">
        <f>"1997-08-07"</f>
        <v>1997-08-07</v>
      </c>
      <c r="F459" s="6" t="str">
        <f>"山东商业职业技术学院"</f>
        <v>山东商业职业技术学院</v>
      </c>
      <c r="G459" s="6" t="str">
        <f>"会计专业"</f>
        <v>会计专业</v>
      </c>
      <c r="H459" s="6" t="str">
        <f t="shared" si="221"/>
        <v>大专</v>
      </c>
      <c r="I459" s="8" t="s">
        <v>12</v>
      </c>
    </row>
    <row r="460" spans="1:9" ht="24" customHeight="1">
      <c r="A460" s="5">
        <v>458</v>
      </c>
      <c r="B460" s="6" t="s">
        <v>32</v>
      </c>
      <c r="C460" s="6" t="str">
        <f>"陆信伸"</f>
        <v>陆信伸</v>
      </c>
      <c r="D460" s="6" t="str">
        <f t="shared" si="223"/>
        <v>女</v>
      </c>
      <c r="E460" s="6" t="str">
        <f>"1993-06-28"</f>
        <v>1993-06-28</v>
      </c>
      <c r="F460" s="6" t="str">
        <f>"海南大学"</f>
        <v>海南大学</v>
      </c>
      <c r="G460" s="6" t="str">
        <f t="shared" si="224"/>
        <v>会计学</v>
      </c>
      <c r="H460" s="6" t="str">
        <f aca="true" t="shared" si="225" ref="H460:H464">"本科"</f>
        <v>本科</v>
      </c>
      <c r="I460" s="8" t="s">
        <v>12</v>
      </c>
    </row>
    <row r="461" spans="1:9" ht="24" customHeight="1">
      <c r="A461" s="5">
        <v>459</v>
      </c>
      <c r="B461" s="6" t="s">
        <v>32</v>
      </c>
      <c r="C461" s="6" t="str">
        <f>"冯双"</f>
        <v>冯双</v>
      </c>
      <c r="D461" s="6" t="str">
        <f>"男"</f>
        <v>男</v>
      </c>
      <c r="E461" s="6" t="str">
        <f>"1995-06-24"</f>
        <v>1995-06-24</v>
      </c>
      <c r="F461" s="6" t="str">
        <f>"江西理工大学应用科学学院"</f>
        <v>江西理工大学应用科学学院</v>
      </c>
      <c r="G461" s="6" t="str">
        <f t="shared" si="224"/>
        <v>会计学</v>
      </c>
      <c r="H461" s="6" t="str">
        <f t="shared" si="225"/>
        <v>本科</v>
      </c>
      <c r="I461" s="8" t="s">
        <v>16</v>
      </c>
    </row>
    <row r="462" spans="1:9" ht="24" customHeight="1">
      <c r="A462" s="5">
        <v>460</v>
      </c>
      <c r="B462" s="6" t="s">
        <v>32</v>
      </c>
      <c r="C462" s="6" t="str">
        <f>"刘小娜"</f>
        <v>刘小娜</v>
      </c>
      <c r="D462" s="6" t="str">
        <f aca="true" t="shared" si="226" ref="D462:D471">"女"</f>
        <v>女</v>
      </c>
      <c r="E462" s="6" t="str">
        <f>"1996-07-13"</f>
        <v>1996-07-13</v>
      </c>
      <c r="F462" s="6" t="str">
        <f>"海口经济学院"</f>
        <v>海口经济学院</v>
      </c>
      <c r="G462" s="6" t="str">
        <f>"财务管理"</f>
        <v>财务管理</v>
      </c>
      <c r="H462" s="6" t="str">
        <f t="shared" si="225"/>
        <v>本科</v>
      </c>
      <c r="I462" s="8" t="s">
        <v>12</v>
      </c>
    </row>
    <row r="463" spans="1:9" ht="24" customHeight="1">
      <c r="A463" s="5">
        <v>461</v>
      </c>
      <c r="B463" s="6" t="s">
        <v>32</v>
      </c>
      <c r="C463" s="6" t="str">
        <f>"薛海丽"</f>
        <v>薛海丽</v>
      </c>
      <c r="D463" s="6" t="str">
        <f t="shared" si="226"/>
        <v>女</v>
      </c>
      <c r="E463" s="6" t="str">
        <f>"1992-08-18"</f>
        <v>1992-08-18</v>
      </c>
      <c r="F463" s="6" t="str">
        <f>"江西财经大学"</f>
        <v>江西财经大学</v>
      </c>
      <c r="G463" s="6" t="str">
        <f aca="true" t="shared" si="227" ref="G463:G466">"会计学"</f>
        <v>会计学</v>
      </c>
      <c r="H463" s="6" t="str">
        <f t="shared" si="225"/>
        <v>本科</v>
      </c>
      <c r="I463" s="8" t="s">
        <v>12</v>
      </c>
    </row>
    <row r="464" spans="1:9" ht="24" customHeight="1">
      <c r="A464" s="5">
        <v>462</v>
      </c>
      <c r="B464" s="6" t="s">
        <v>32</v>
      </c>
      <c r="C464" s="6" t="str">
        <f>"庄雍钰"</f>
        <v>庄雍钰</v>
      </c>
      <c r="D464" s="6" t="str">
        <f t="shared" si="226"/>
        <v>女</v>
      </c>
      <c r="E464" s="6" t="str">
        <f>"1999-03-31"</f>
        <v>1999-03-31</v>
      </c>
      <c r="F464" s="6" t="str">
        <f>"山西财经大学"</f>
        <v>山西财经大学</v>
      </c>
      <c r="G464" s="6" t="str">
        <f t="shared" si="227"/>
        <v>会计学</v>
      </c>
      <c r="H464" s="6" t="str">
        <f t="shared" si="225"/>
        <v>本科</v>
      </c>
      <c r="I464" s="8" t="s">
        <v>12</v>
      </c>
    </row>
    <row r="465" spans="1:9" ht="24" customHeight="1">
      <c r="A465" s="5">
        <v>463</v>
      </c>
      <c r="B465" s="6" t="s">
        <v>32</v>
      </c>
      <c r="C465" s="6" t="str">
        <f>"孙昌丽"</f>
        <v>孙昌丽</v>
      </c>
      <c r="D465" s="6" t="str">
        <f t="shared" si="226"/>
        <v>女</v>
      </c>
      <c r="E465" s="6" t="str">
        <f>"1994-06-14"</f>
        <v>1994-06-14</v>
      </c>
      <c r="F465" s="6" t="str">
        <f>"海口经济学院"</f>
        <v>海口经济学院</v>
      </c>
      <c r="G465" s="6" t="str">
        <f>"会计"</f>
        <v>会计</v>
      </c>
      <c r="H465" s="6" t="str">
        <f>"大专"</f>
        <v>大专</v>
      </c>
      <c r="I465" s="8" t="s">
        <v>12</v>
      </c>
    </row>
    <row r="466" spans="1:9" ht="24" customHeight="1">
      <c r="A466" s="5">
        <v>464</v>
      </c>
      <c r="B466" s="6" t="s">
        <v>32</v>
      </c>
      <c r="C466" s="6" t="str">
        <f>"樊迪"</f>
        <v>樊迪</v>
      </c>
      <c r="D466" s="6" t="str">
        <f t="shared" si="226"/>
        <v>女</v>
      </c>
      <c r="E466" s="6" t="str">
        <f>"1997-10-23"</f>
        <v>1997-10-23</v>
      </c>
      <c r="F466" s="6" t="str">
        <f>"西安外事学院"</f>
        <v>西安外事学院</v>
      </c>
      <c r="G466" s="6" t="str">
        <f t="shared" si="227"/>
        <v>会计学</v>
      </c>
      <c r="H466" s="6" t="str">
        <f aca="true" t="shared" si="228" ref="H466:H479">"本科"</f>
        <v>本科</v>
      </c>
      <c r="I466" s="8" t="s">
        <v>16</v>
      </c>
    </row>
    <row r="467" spans="1:9" ht="24" customHeight="1">
      <c r="A467" s="5">
        <v>465</v>
      </c>
      <c r="B467" s="6" t="s">
        <v>32</v>
      </c>
      <c r="C467" s="6" t="str">
        <f>"韩可盈"</f>
        <v>韩可盈</v>
      </c>
      <c r="D467" s="6" t="str">
        <f t="shared" si="226"/>
        <v>女</v>
      </c>
      <c r="E467" s="6" t="str">
        <f>"1998-09-22"</f>
        <v>1998-09-22</v>
      </c>
      <c r="F467" s="6" t="str">
        <f>"海南经贸职业技术学院"</f>
        <v>海南经贸职业技术学院</v>
      </c>
      <c r="G467" s="6" t="str">
        <f>"财务管理"</f>
        <v>财务管理</v>
      </c>
      <c r="H467" s="6" t="str">
        <f>"大专"</f>
        <v>大专</v>
      </c>
      <c r="I467" s="8" t="s">
        <v>16</v>
      </c>
    </row>
    <row r="468" spans="1:9" ht="24" customHeight="1">
      <c r="A468" s="5">
        <v>466</v>
      </c>
      <c r="B468" s="6" t="s">
        <v>32</v>
      </c>
      <c r="C468" s="6" t="str">
        <f>"倪翠玉"</f>
        <v>倪翠玉</v>
      </c>
      <c r="D468" s="6" t="str">
        <f t="shared" si="226"/>
        <v>女</v>
      </c>
      <c r="E468" s="6" t="str">
        <f>"1994-10-21"</f>
        <v>1994-10-21</v>
      </c>
      <c r="F468" s="6" t="str">
        <f>"广东财经大学华商学院"</f>
        <v>广东财经大学华商学院</v>
      </c>
      <c r="G468" s="6" t="str">
        <f aca="true" t="shared" si="229" ref="G468:G474">"会计学"</f>
        <v>会计学</v>
      </c>
      <c r="H468" s="6" t="str">
        <f t="shared" si="228"/>
        <v>本科</v>
      </c>
      <c r="I468" s="8" t="s">
        <v>12</v>
      </c>
    </row>
    <row r="469" spans="1:9" ht="24" customHeight="1">
      <c r="A469" s="5">
        <v>467</v>
      </c>
      <c r="B469" s="6" t="s">
        <v>32</v>
      </c>
      <c r="C469" s="6" t="str">
        <f>"王翔"</f>
        <v>王翔</v>
      </c>
      <c r="D469" s="6" t="str">
        <f t="shared" si="226"/>
        <v>女</v>
      </c>
      <c r="E469" s="6" t="str">
        <f>"1996-11-27"</f>
        <v>1996-11-27</v>
      </c>
      <c r="F469" s="6" t="str">
        <f>"江西财经大学现代经济管理学院"</f>
        <v>江西财经大学现代经济管理学院</v>
      </c>
      <c r="G469" s="6" t="str">
        <f t="shared" si="229"/>
        <v>会计学</v>
      </c>
      <c r="H469" s="6" t="str">
        <f t="shared" si="228"/>
        <v>本科</v>
      </c>
      <c r="I469" s="8" t="s">
        <v>12</v>
      </c>
    </row>
    <row r="470" spans="1:9" ht="24" customHeight="1">
      <c r="A470" s="5">
        <v>468</v>
      </c>
      <c r="B470" s="6" t="s">
        <v>32</v>
      </c>
      <c r="C470" s="6" t="str">
        <f>"吉愉"</f>
        <v>吉愉</v>
      </c>
      <c r="D470" s="6" t="str">
        <f t="shared" si="226"/>
        <v>女</v>
      </c>
      <c r="E470" s="6" t="str">
        <f>"1998-06-08"</f>
        <v>1998-06-08</v>
      </c>
      <c r="F470" s="6" t="str">
        <f>"长春理工大学光电信息学院"</f>
        <v>长春理工大学光电信息学院</v>
      </c>
      <c r="G470" s="6" t="str">
        <f t="shared" si="229"/>
        <v>会计学</v>
      </c>
      <c r="H470" s="6" t="str">
        <f t="shared" si="228"/>
        <v>本科</v>
      </c>
      <c r="I470" s="8" t="s">
        <v>12</v>
      </c>
    </row>
    <row r="471" spans="1:9" ht="24" customHeight="1">
      <c r="A471" s="5">
        <v>469</v>
      </c>
      <c r="B471" s="6" t="s">
        <v>32</v>
      </c>
      <c r="C471" s="6" t="str">
        <f>"龙欣莹"</f>
        <v>龙欣莹</v>
      </c>
      <c r="D471" s="6" t="str">
        <f t="shared" si="226"/>
        <v>女</v>
      </c>
      <c r="E471" s="6" t="str">
        <f>"1995-04-21"</f>
        <v>1995-04-21</v>
      </c>
      <c r="F471" s="6" t="str">
        <f>"云南师范大学商学院"</f>
        <v>云南师范大学商学院</v>
      </c>
      <c r="G471" s="6" t="str">
        <f t="shared" si="229"/>
        <v>会计学</v>
      </c>
      <c r="H471" s="6" t="str">
        <f t="shared" si="228"/>
        <v>本科</v>
      </c>
      <c r="I471" s="8" t="s">
        <v>12</v>
      </c>
    </row>
    <row r="472" spans="1:9" ht="24" customHeight="1">
      <c r="A472" s="5">
        <v>470</v>
      </c>
      <c r="B472" s="6" t="s">
        <v>32</v>
      </c>
      <c r="C472" s="6" t="str">
        <f>"林书祥"</f>
        <v>林书祥</v>
      </c>
      <c r="D472" s="6" t="str">
        <f>"男"</f>
        <v>男</v>
      </c>
      <c r="E472" s="6" t="str">
        <f>"1995-12-16"</f>
        <v>1995-12-16</v>
      </c>
      <c r="F472" s="6" t="str">
        <f>"三亚学院"</f>
        <v>三亚学院</v>
      </c>
      <c r="G472" s="6" t="str">
        <f t="shared" si="229"/>
        <v>会计学</v>
      </c>
      <c r="H472" s="6" t="str">
        <f t="shared" si="228"/>
        <v>本科</v>
      </c>
      <c r="I472" s="8" t="s">
        <v>12</v>
      </c>
    </row>
    <row r="473" spans="1:9" ht="24" customHeight="1">
      <c r="A473" s="5">
        <v>471</v>
      </c>
      <c r="B473" s="6" t="s">
        <v>32</v>
      </c>
      <c r="C473" s="6" t="str">
        <f>"黄锦瑜"</f>
        <v>黄锦瑜</v>
      </c>
      <c r="D473" s="6" t="str">
        <f aca="true" t="shared" si="230" ref="D473:D479">"女"</f>
        <v>女</v>
      </c>
      <c r="E473" s="6" t="str">
        <f>"1998-12-08"</f>
        <v>1998-12-08</v>
      </c>
      <c r="F473" s="6" t="str">
        <f>"广东工业大学"</f>
        <v>广东工业大学</v>
      </c>
      <c r="G473" s="6" t="str">
        <f t="shared" si="229"/>
        <v>会计学</v>
      </c>
      <c r="H473" s="6" t="str">
        <f t="shared" si="228"/>
        <v>本科</v>
      </c>
      <c r="I473" s="8" t="s">
        <v>16</v>
      </c>
    </row>
    <row r="474" spans="1:9" ht="24" customHeight="1">
      <c r="A474" s="5">
        <v>472</v>
      </c>
      <c r="B474" s="6" t="s">
        <v>32</v>
      </c>
      <c r="C474" s="6" t="str">
        <f>"王琪"</f>
        <v>王琪</v>
      </c>
      <c r="D474" s="6" t="str">
        <f t="shared" si="230"/>
        <v>女</v>
      </c>
      <c r="E474" s="6" t="str">
        <f>"1993-07-31"</f>
        <v>1993-07-31</v>
      </c>
      <c r="F474" s="6" t="str">
        <f>"南昌大学共青学院"</f>
        <v>南昌大学共青学院</v>
      </c>
      <c r="G474" s="6" t="str">
        <f t="shared" si="229"/>
        <v>会计学</v>
      </c>
      <c r="H474" s="6" t="str">
        <f t="shared" si="228"/>
        <v>本科</v>
      </c>
      <c r="I474" s="8" t="s">
        <v>12</v>
      </c>
    </row>
    <row r="475" spans="1:9" ht="24" customHeight="1">
      <c r="A475" s="5">
        <v>473</v>
      </c>
      <c r="B475" s="6" t="s">
        <v>32</v>
      </c>
      <c r="C475" s="6" t="str">
        <f>"吴林连"</f>
        <v>吴林连</v>
      </c>
      <c r="D475" s="6" t="str">
        <f t="shared" si="230"/>
        <v>女</v>
      </c>
      <c r="E475" s="6" t="str">
        <f>"1995-09-10"</f>
        <v>1995-09-10</v>
      </c>
      <c r="F475" s="6" t="str">
        <f aca="true" t="shared" si="231" ref="F475:F478">"海口经济学院"</f>
        <v>海口经济学院</v>
      </c>
      <c r="G475" s="6" t="str">
        <f>"财务管理（会计）"</f>
        <v>财务管理（会计）</v>
      </c>
      <c r="H475" s="6" t="str">
        <f t="shared" si="228"/>
        <v>本科</v>
      </c>
      <c r="I475" s="8" t="s">
        <v>12</v>
      </c>
    </row>
    <row r="476" spans="1:9" ht="24" customHeight="1">
      <c r="A476" s="5">
        <v>474</v>
      </c>
      <c r="B476" s="6" t="s">
        <v>32</v>
      </c>
      <c r="C476" s="6" t="str">
        <f>"李姣彦"</f>
        <v>李姣彦</v>
      </c>
      <c r="D476" s="6" t="str">
        <f t="shared" si="230"/>
        <v>女</v>
      </c>
      <c r="E476" s="6" t="str">
        <f>"1997-11-12"</f>
        <v>1997-11-12</v>
      </c>
      <c r="F476" s="6" t="str">
        <f t="shared" si="231"/>
        <v>海口经济学院</v>
      </c>
      <c r="G476" s="6" t="str">
        <f aca="true" t="shared" si="232" ref="G476:G478">"会计学"</f>
        <v>会计学</v>
      </c>
      <c r="H476" s="6" t="str">
        <f t="shared" si="228"/>
        <v>本科</v>
      </c>
      <c r="I476" s="8" t="s">
        <v>16</v>
      </c>
    </row>
    <row r="477" spans="1:9" ht="24" customHeight="1">
      <c r="A477" s="5">
        <v>475</v>
      </c>
      <c r="B477" s="6" t="s">
        <v>32</v>
      </c>
      <c r="C477" s="6" t="str">
        <f>"陈婧仪"</f>
        <v>陈婧仪</v>
      </c>
      <c r="D477" s="6" t="str">
        <f t="shared" si="230"/>
        <v>女</v>
      </c>
      <c r="E477" s="6" t="str">
        <f>"1998-06-24"</f>
        <v>1998-06-24</v>
      </c>
      <c r="F477" s="6" t="str">
        <f>"中山大学南方学院"</f>
        <v>中山大学南方学院</v>
      </c>
      <c r="G477" s="6" t="str">
        <f t="shared" si="232"/>
        <v>会计学</v>
      </c>
      <c r="H477" s="6" t="str">
        <f t="shared" si="228"/>
        <v>本科</v>
      </c>
      <c r="I477" s="8" t="s">
        <v>12</v>
      </c>
    </row>
    <row r="478" spans="1:9" ht="24" customHeight="1">
      <c r="A478" s="5">
        <v>476</v>
      </c>
      <c r="B478" s="6" t="s">
        <v>32</v>
      </c>
      <c r="C478" s="6" t="str">
        <f>"李慢晶"</f>
        <v>李慢晶</v>
      </c>
      <c r="D478" s="6" t="str">
        <f t="shared" si="230"/>
        <v>女</v>
      </c>
      <c r="E478" s="6" t="str">
        <f>"1997-07-03"</f>
        <v>1997-07-03</v>
      </c>
      <c r="F478" s="6" t="str">
        <f t="shared" si="231"/>
        <v>海口经济学院</v>
      </c>
      <c r="G478" s="6" t="str">
        <f t="shared" si="232"/>
        <v>会计学</v>
      </c>
      <c r="H478" s="6" t="str">
        <f t="shared" si="228"/>
        <v>本科</v>
      </c>
      <c r="I478" s="8" t="s">
        <v>12</v>
      </c>
    </row>
    <row r="479" spans="1:9" ht="24" customHeight="1">
      <c r="A479" s="5">
        <v>477</v>
      </c>
      <c r="B479" s="6" t="s">
        <v>32</v>
      </c>
      <c r="C479" s="6" t="str">
        <f>"李汶蔚"</f>
        <v>李汶蔚</v>
      </c>
      <c r="D479" s="6" t="str">
        <f t="shared" si="230"/>
        <v>女</v>
      </c>
      <c r="E479" s="6" t="str">
        <f>"1997-08-01"</f>
        <v>1997-08-01</v>
      </c>
      <c r="F479" s="6" t="str">
        <f>"云南大学旅游文化学院"</f>
        <v>云南大学旅游文化学院</v>
      </c>
      <c r="G479" s="6" t="str">
        <f>"财务管理"</f>
        <v>财务管理</v>
      </c>
      <c r="H479" s="6" t="str">
        <f t="shared" si="228"/>
        <v>本科</v>
      </c>
      <c r="I479" s="8" t="s">
        <v>12</v>
      </c>
    </row>
    <row r="480" spans="1:9" ht="24" customHeight="1">
      <c r="A480" s="5">
        <v>478</v>
      </c>
      <c r="B480" s="6" t="s">
        <v>32</v>
      </c>
      <c r="C480" s="6" t="str">
        <f>"黄萧峰"</f>
        <v>黄萧峰</v>
      </c>
      <c r="D480" s="6" t="str">
        <f>"男"</f>
        <v>男</v>
      </c>
      <c r="E480" s="6" t="str">
        <f>"1998-04-27"</f>
        <v>1998-04-27</v>
      </c>
      <c r="F480" s="6" t="str">
        <f>"广东机电职业技术学院"</f>
        <v>广东机电职业技术学院</v>
      </c>
      <c r="G480" s="6" t="str">
        <f>"会计"</f>
        <v>会计</v>
      </c>
      <c r="H480" s="6" t="str">
        <f>"大专"</f>
        <v>大专</v>
      </c>
      <c r="I480" s="8" t="s">
        <v>16</v>
      </c>
    </row>
    <row r="481" spans="1:9" ht="24" customHeight="1">
      <c r="A481" s="5">
        <v>479</v>
      </c>
      <c r="B481" s="6" t="s">
        <v>32</v>
      </c>
      <c r="C481" s="6" t="str">
        <f>"陈坤秀"</f>
        <v>陈坤秀</v>
      </c>
      <c r="D481" s="6" t="str">
        <f aca="true" t="shared" si="233" ref="D481:D508">"女"</f>
        <v>女</v>
      </c>
      <c r="E481" s="6" t="str">
        <f>"1997-12-27"</f>
        <v>1997-12-27</v>
      </c>
      <c r="F481" s="6" t="str">
        <f>"江西财经大学现代经济管理学院"</f>
        <v>江西财经大学现代经济管理学院</v>
      </c>
      <c r="G481" s="6" t="str">
        <f aca="true" t="shared" si="234" ref="G481:G484">"会计学"</f>
        <v>会计学</v>
      </c>
      <c r="H481" s="6" t="str">
        <f aca="true" t="shared" si="235" ref="H481:H486">"本科"</f>
        <v>本科</v>
      </c>
      <c r="I481" s="8" t="s">
        <v>16</v>
      </c>
    </row>
    <row r="482" spans="1:9" ht="24" customHeight="1">
      <c r="A482" s="5">
        <v>480</v>
      </c>
      <c r="B482" s="6" t="s">
        <v>32</v>
      </c>
      <c r="C482" s="6" t="str">
        <f>"王婷婷"</f>
        <v>王婷婷</v>
      </c>
      <c r="D482" s="6" t="str">
        <f t="shared" si="233"/>
        <v>女</v>
      </c>
      <c r="E482" s="6" t="str">
        <f>"1998-06-25"</f>
        <v>1998-06-25</v>
      </c>
      <c r="F482" s="6" t="str">
        <f>"长春工业大学人文信息学院"</f>
        <v>长春工业大学人文信息学院</v>
      </c>
      <c r="G482" s="6" t="str">
        <f t="shared" si="234"/>
        <v>会计学</v>
      </c>
      <c r="H482" s="6" t="str">
        <f t="shared" si="235"/>
        <v>本科</v>
      </c>
      <c r="I482" s="8" t="s">
        <v>12</v>
      </c>
    </row>
    <row r="483" spans="1:9" ht="24" customHeight="1">
      <c r="A483" s="5">
        <v>481</v>
      </c>
      <c r="B483" s="6" t="s">
        <v>32</v>
      </c>
      <c r="C483" s="6" t="str">
        <f>"梁代玉"</f>
        <v>梁代玉</v>
      </c>
      <c r="D483" s="6" t="str">
        <f t="shared" si="233"/>
        <v>女</v>
      </c>
      <c r="E483" s="6" t="str">
        <f>"1995-04-05"</f>
        <v>1995-04-05</v>
      </c>
      <c r="F483" s="6" t="str">
        <f>"武汉晴川学院"</f>
        <v>武汉晴川学院</v>
      </c>
      <c r="G483" s="6" t="str">
        <f t="shared" si="234"/>
        <v>会计学</v>
      </c>
      <c r="H483" s="6" t="str">
        <f t="shared" si="235"/>
        <v>本科</v>
      </c>
      <c r="I483" s="8" t="s">
        <v>12</v>
      </c>
    </row>
    <row r="484" spans="1:9" ht="24" customHeight="1">
      <c r="A484" s="5">
        <v>482</v>
      </c>
      <c r="B484" s="6" t="s">
        <v>32</v>
      </c>
      <c r="C484" s="6" t="str">
        <f>"文菲菲"</f>
        <v>文菲菲</v>
      </c>
      <c r="D484" s="6" t="str">
        <f t="shared" si="233"/>
        <v>女</v>
      </c>
      <c r="E484" s="6" t="str">
        <f>"1994-12-08"</f>
        <v>1994-12-08</v>
      </c>
      <c r="F484" s="6" t="str">
        <f>"江苏科技大学"</f>
        <v>江苏科技大学</v>
      </c>
      <c r="G484" s="6" t="str">
        <f t="shared" si="234"/>
        <v>会计学</v>
      </c>
      <c r="H484" s="6" t="str">
        <f t="shared" si="235"/>
        <v>本科</v>
      </c>
      <c r="I484" s="8" t="s">
        <v>12</v>
      </c>
    </row>
    <row r="485" spans="1:9" ht="24" customHeight="1">
      <c r="A485" s="5">
        <v>483</v>
      </c>
      <c r="B485" s="6" t="s">
        <v>32</v>
      </c>
      <c r="C485" s="6" t="str">
        <f>"唐才"</f>
        <v>唐才</v>
      </c>
      <c r="D485" s="6" t="str">
        <f t="shared" si="233"/>
        <v>女</v>
      </c>
      <c r="E485" s="6" t="str">
        <f>"1994-07-10"</f>
        <v>1994-07-10</v>
      </c>
      <c r="F485" s="6" t="str">
        <f>"海口经济学院"</f>
        <v>海口经济学院</v>
      </c>
      <c r="G485" s="6" t="str">
        <f>"财务管理（会计方向）"</f>
        <v>财务管理（会计方向）</v>
      </c>
      <c r="H485" s="6" t="str">
        <f t="shared" si="235"/>
        <v>本科</v>
      </c>
      <c r="I485" s="8" t="s">
        <v>12</v>
      </c>
    </row>
    <row r="486" spans="1:9" ht="24" customHeight="1">
      <c r="A486" s="5">
        <v>484</v>
      </c>
      <c r="B486" s="6" t="s">
        <v>32</v>
      </c>
      <c r="C486" s="6" t="str">
        <f>"罗晓薇"</f>
        <v>罗晓薇</v>
      </c>
      <c r="D486" s="6" t="str">
        <f t="shared" si="233"/>
        <v>女</v>
      </c>
      <c r="E486" s="6" t="str">
        <f>"1992-08-22"</f>
        <v>1992-08-22</v>
      </c>
      <c r="F486" s="6" t="str">
        <f>"河南大学"</f>
        <v>河南大学</v>
      </c>
      <c r="G486" s="6" t="str">
        <f aca="true" t="shared" si="236" ref="G486:G492">"会计学"</f>
        <v>会计学</v>
      </c>
      <c r="H486" s="6" t="str">
        <f t="shared" si="235"/>
        <v>本科</v>
      </c>
      <c r="I486" s="8" t="s">
        <v>12</v>
      </c>
    </row>
    <row r="487" spans="1:9" ht="24" customHeight="1">
      <c r="A487" s="5">
        <v>485</v>
      </c>
      <c r="B487" s="6" t="s">
        <v>32</v>
      </c>
      <c r="C487" s="6" t="str">
        <f>"纪新群"</f>
        <v>纪新群</v>
      </c>
      <c r="D487" s="6" t="str">
        <f t="shared" si="233"/>
        <v>女</v>
      </c>
      <c r="E487" s="6" t="str">
        <f>"1995-04-11"</f>
        <v>1995-04-11</v>
      </c>
      <c r="F487" s="6" t="str">
        <f>"海南职业技术学院"</f>
        <v>海南职业技术学院</v>
      </c>
      <c r="G487" s="6" t="str">
        <f>"会计"</f>
        <v>会计</v>
      </c>
      <c r="H487" s="6" t="str">
        <f>"大专"</f>
        <v>大专</v>
      </c>
      <c r="I487" s="8" t="s">
        <v>12</v>
      </c>
    </row>
    <row r="488" spans="1:9" ht="24" customHeight="1">
      <c r="A488" s="5">
        <v>486</v>
      </c>
      <c r="B488" s="6" t="s">
        <v>32</v>
      </c>
      <c r="C488" s="6" t="str">
        <f>"云瑜"</f>
        <v>云瑜</v>
      </c>
      <c r="D488" s="6" t="str">
        <f t="shared" si="233"/>
        <v>女</v>
      </c>
      <c r="E488" s="6" t="str">
        <f>"1993-09-14"</f>
        <v>1993-09-14</v>
      </c>
      <c r="F488" s="6" t="str">
        <f>"海南师范大学"</f>
        <v>海南师范大学</v>
      </c>
      <c r="G488" s="6" t="str">
        <f>"会计"</f>
        <v>会计</v>
      </c>
      <c r="H488" s="6" t="str">
        <f aca="true" t="shared" si="237" ref="H488:H496">"本科"</f>
        <v>本科</v>
      </c>
      <c r="I488" s="8" t="s">
        <v>12</v>
      </c>
    </row>
    <row r="489" spans="1:9" ht="24" customHeight="1">
      <c r="A489" s="5">
        <v>487</v>
      </c>
      <c r="B489" s="6" t="s">
        <v>32</v>
      </c>
      <c r="C489" s="6" t="str">
        <f>"黄颖"</f>
        <v>黄颖</v>
      </c>
      <c r="D489" s="6" t="str">
        <f t="shared" si="233"/>
        <v>女</v>
      </c>
      <c r="E489" s="6" t="str">
        <f>"1996-09-15"</f>
        <v>1996-09-15</v>
      </c>
      <c r="F489" s="6" t="str">
        <f>"海南大学"</f>
        <v>海南大学</v>
      </c>
      <c r="G489" s="6" t="str">
        <f>"财务管理（企业理财方向）"</f>
        <v>财务管理（企业理财方向）</v>
      </c>
      <c r="H489" s="6" t="str">
        <f t="shared" si="237"/>
        <v>本科</v>
      </c>
      <c r="I489" s="8" t="s">
        <v>16</v>
      </c>
    </row>
    <row r="490" spans="1:9" ht="24" customHeight="1">
      <c r="A490" s="5">
        <v>488</v>
      </c>
      <c r="B490" s="6" t="s">
        <v>32</v>
      </c>
      <c r="C490" s="6" t="str">
        <f>"杨生院"</f>
        <v>杨生院</v>
      </c>
      <c r="D490" s="6" t="str">
        <f t="shared" si="233"/>
        <v>女</v>
      </c>
      <c r="E490" s="6" t="str">
        <f>"1996-03-24"</f>
        <v>1996-03-24</v>
      </c>
      <c r="F490" s="6" t="str">
        <f aca="true" t="shared" si="238" ref="F490:F494">"海口经济学院"</f>
        <v>海口经济学院</v>
      </c>
      <c r="G490" s="6" t="str">
        <f t="shared" si="236"/>
        <v>会计学</v>
      </c>
      <c r="H490" s="6" t="str">
        <f t="shared" si="237"/>
        <v>本科</v>
      </c>
      <c r="I490" s="8" t="s">
        <v>12</v>
      </c>
    </row>
    <row r="491" spans="1:9" ht="24" customHeight="1">
      <c r="A491" s="5">
        <v>489</v>
      </c>
      <c r="B491" s="6" t="s">
        <v>32</v>
      </c>
      <c r="C491" s="6" t="str">
        <f>"黄诗雨"</f>
        <v>黄诗雨</v>
      </c>
      <c r="D491" s="6" t="str">
        <f t="shared" si="233"/>
        <v>女</v>
      </c>
      <c r="E491" s="6" t="str">
        <f>"1998-06-02"</f>
        <v>1998-06-02</v>
      </c>
      <c r="F491" s="6" t="str">
        <f>"长春光华学院"</f>
        <v>长春光华学院</v>
      </c>
      <c r="G491" s="6" t="str">
        <f t="shared" si="236"/>
        <v>会计学</v>
      </c>
      <c r="H491" s="6" t="str">
        <f t="shared" si="237"/>
        <v>本科</v>
      </c>
      <c r="I491" s="8" t="s">
        <v>12</v>
      </c>
    </row>
    <row r="492" spans="1:9" ht="24" customHeight="1">
      <c r="A492" s="5">
        <v>490</v>
      </c>
      <c r="B492" s="6" t="s">
        <v>32</v>
      </c>
      <c r="C492" s="6" t="str">
        <f>"吴小妹"</f>
        <v>吴小妹</v>
      </c>
      <c r="D492" s="6" t="str">
        <f t="shared" si="233"/>
        <v>女</v>
      </c>
      <c r="E492" s="6" t="str">
        <f>"1996-03-23"</f>
        <v>1996-03-23</v>
      </c>
      <c r="F492" s="6" t="str">
        <f>"东华理工大学长江学院"</f>
        <v>东华理工大学长江学院</v>
      </c>
      <c r="G492" s="6" t="str">
        <f t="shared" si="236"/>
        <v>会计学</v>
      </c>
      <c r="H492" s="6" t="str">
        <f t="shared" si="237"/>
        <v>本科</v>
      </c>
      <c r="I492" s="8" t="s">
        <v>12</v>
      </c>
    </row>
    <row r="493" spans="1:9" ht="24" customHeight="1">
      <c r="A493" s="5">
        <v>491</v>
      </c>
      <c r="B493" s="6" t="s">
        <v>32</v>
      </c>
      <c r="C493" s="6" t="str">
        <f>"苏亮霞"</f>
        <v>苏亮霞</v>
      </c>
      <c r="D493" s="6" t="str">
        <f t="shared" si="233"/>
        <v>女</v>
      </c>
      <c r="E493" s="6" t="str">
        <f>"1995-02-04"</f>
        <v>1995-02-04</v>
      </c>
      <c r="F493" s="6" t="str">
        <f t="shared" si="238"/>
        <v>海口经济学院</v>
      </c>
      <c r="G493" s="6" t="str">
        <f>"财务管理"</f>
        <v>财务管理</v>
      </c>
      <c r="H493" s="6" t="str">
        <f t="shared" si="237"/>
        <v>本科</v>
      </c>
      <c r="I493" s="8" t="s">
        <v>12</v>
      </c>
    </row>
    <row r="494" spans="1:9" ht="24" customHeight="1">
      <c r="A494" s="5">
        <v>492</v>
      </c>
      <c r="B494" s="6" t="s">
        <v>32</v>
      </c>
      <c r="C494" s="6" t="str">
        <f>"陈溶亲"</f>
        <v>陈溶亲</v>
      </c>
      <c r="D494" s="6" t="str">
        <f t="shared" si="233"/>
        <v>女</v>
      </c>
      <c r="E494" s="6" t="str">
        <f>"1997-06-28"</f>
        <v>1997-06-28</v>
      </c>
      <c r="F494" s="6" t="str">
        <f t="shared" si="238"/>
        <v>海口经济学院</v>
      </c>
      <c r="G494" s="6" t="str">
        <f aca="true" t="shared" si="239" ref="G494:G498">"会计学"</f>
        <v>会计学</v>
      </c>
      <c r="H494" s="6" t="str">
        <f t="shared" si="237"/>
        <v>本科</v>
      </c>
      <c r="I494" s="8" t="s">
        <v>12</v>
      </c>
    </row>
    <row r="495" spans="1:9" ht="24" customHeight="1">
      <c r="A495" s="5">
        <v>493</v>
      </c>
      <c r="B495" s="6" t="s">
        <v>32</v>
      </c>
      <c r="C495" s="6" t="str">
        <f>"李银坊"</f>
        <v>李银坊</v>
      </c>
      <c r="D495" s="6" t="str">
        <f t="shared" si="233"/>
        <v>女</v>
      </c>
      <c r="E495" s="6" t="str">
        <f>"1995-07-25"</f>
        <v>1995-07-25</v>
      </c>
      <c r="F495" s="6" t="str">
        <f>"辽宁财贸学院"</f>
        <v>辽宁财贸学院</v>
      </c>
      <c r="G495" s="6" t="str">
        <f t="shared" si="239"/>
        <v>会计学</v>
      </c>
      <c r="H495" s="6" t="str">
        <f t="shared" si="237"/>
        <v>本科</v>
      </c>
      <c r="I495" s="8" t="s">
        <v>12</v>
      </c>
    </row>
    <row r="496" spans="1:9" ht="24" customHeight="1">
      <c r="A496" s="5">
        <v>494</v>
      </c>
      <c r="B496" s="6" t="s">
        <v>32</v>
      </c>
      <c r="C496" s="6" t="str">
        <f>"李玮玉"</f>
        <v>李玮玉</v>
      </c>
      <c r="D496" s="6" t="str">
        <f t="shared" si="233"/>
        <v>女</v>
      </c>
      <c r="E496" s="6" t="str">
        <f>"1993-12-30"</f>
        <v>1993-12-30</v>
      </c>
      <c r="F496" s="6" t="str">
        <f>"海南大学"</f>
        <v>海南大学</v>
      </c>
      <c r="G496" s="6" t="str">
        <f aca="true" t="shared" si="240" ref="G496:G503">"财务管理"</f>
        <v>财务管理</v>
      </c>
      <c r="H496" s="6" t="str">
        <f t="shared" si="237"/>
        <v>本科</v>
      </c>
      <c r="I496" s="8" t="s">
        <v>12</v>
      </c>
    </row>
    <row r="497" spans="1:9" ht="24" customHeight="1">
      <c r="A497" s="5">
        <v>495</v>
      </c>
      <c r="B497" s="6" t="s">
        <v>32</v>
      </c>
      <c r="C497" s="6" t="str">
        <f>"周雅"</f>
        <v>周雅</v>
      </c>
      <c r="D497" s="6" t="str">
        <f t="shared" si="233"/>
        <v>女</v>
      </c>
      <c r="E497" s="6" t="str">
        <f>"1995-08-18"</f>
        <v>1995-08-18</v>
      </c>
      <c r="F497" s="6" t="str">
        <f>"湖南工学院"</f>
        <v>湖南工学院</v>
      </c>
      <c r="G497" s="6" t="str">
        <f>"会计"</f>
        <v>会计</v>
      </c>
      <c r="H497" s="6" t="str">
        <f>"大专"</f>
        <v>大专</v>
      </c>
      <c r="I497" s="8" t="s">
        <v>12</v>
      </c>
    </row>
    <row r="498" spans="1:9" ht="24" customHeight="1">
      <c r="A498" s="5">
        <v>496</v>
      </c>
      <c r="B498" s="6" t="s">
        <v>32</v>
      </c>
      <c r="C498" s="6" t="str">
        <f>"曾小丽"</f>
        <v>曾小丽</v>
      </c>
      <c r="D498" s="6" t="str">
        <f t="shared" si="233"/>
        <v>女</v>
      </c>
      <c r="E498" s="6" t="str">
        <f>"1996-02-04"</f>
        <v>1996-02-04</v>
      </c>
      <c r="F498" s="6" t="str">
        <f>"三亚学院"</f>
        <v>三亚学院</v>
      </c>
      <c r="G498" s="6" t="str">
        <f t="shared" si="239"/>
        <v>会计学</v>
      </c>
      <c r="H498" s="6" t="str">
        <f aca="true" t="shared" si="241" ref="H498:H509">"本科"</f>
        <v>本科</v>
      </c>
      <c r="I498" s="8" t="s">
        <v>12</v>
      </c>
    </row>
    <row r="499" spans="1:9" ht="24" customHeight="1">
      <c r="A499" s="5">
        <v>497</v>
      </c>
      <c r="B499" s="6" t="s">
        <v>32</v>
      </c>
      <c r="C499" s="6" t="str">
        <f>"杨如月"</f>
        <v>杨如月</v>
      </c>
      <c r="D499" s="6" t="str">
        <f t="shared" si="233"/>
        <v>女</v>
      </c>
      <c r="E499" s="6" t="str">
        <f>"1995-11-23"</f>
        <v>1995-11-23</v>
      </c>
      <c r="F499" s="6" t="str">
        <f>"四川文理学院"</f>
        <v>四川文理学院</v>
      </c>
      <c r="G499" s="6" t="str">
        <f t="shared" si="240"/>
        <v>财务管理</v>
      </c>
      <c r="H499" s="6" t="str">
        <f t="shared" si="241"/>
        <v>本科</v>
      </c>
      <c r="I499" s="8" t="s">
        <v>12</v>
      </c>
    </row>
    <row r="500" spans="1:9" ht="24" customHeight="1">
      <c r="A500" s="5">
        <v>498</v>
      </c>
      <c r="B500" s="6" t="s">
        <v>32</v>
      </c>
      <c r="C500" s="6" t="str">
        <f>"冯秋花"</f>
        <v>冯秋花</v>
      </c>
      <c r="D500" s="6" t="str">
        <f t="shared" si="233"/>
        <v>女</v>
      </c>
      <c r="E500" s="6" t="str">
        <f>"1994-08-12"</f>
        <v>1994-08-12</v>
      </c>
      <c r="F500" s="6" t="str">
        <f>"广西民族师范学院"</f>
        <v>广西民族师范学院</v>
      </c>
      <c r="G500" s="6" t="str">
        <f t="shared" si="240"/>
        <v>财务管理</v>
      </c>
      <c r="H500" s="6" t="str">
        <f t="shared" si="241"/>
        <v>本科</v>
      </c>
      <c r="I500" s="8" t="s">
        <v>12</v>
      </c>
    </row>
    <row r="501" spans="1:9" ht="24" customHeight="1">
      <c r="A501" s="5">
        <v>499</v>
      </c>
      <c r="B501" s="6" t="s">
        <v>32</v>
      </c>
      <c r="C501" s="6" t="str">
        <f>"文欣欣"</f>
        <v>文欣欣</v>
      </c>
      <c r="D501" s="6" t="str">
        <f t="shared" si="233"/>
        <v>女</v>
      </c>
      <c r="E501" s="6" t="str">
        <f>"1997-04-21"</f>
        <v>1997-04-21</v>
      </c>
      <c r="F501" s="6" t="str">
        <f>"华北电力大学科技学院"</f>
        <v>华北电力大学科技学院</v>
      </c>
      <c r="G501" s="6" t="str">
        <f t="shared" si="240"/>
        <v>财务管理</v>
      </c>
      <c r="H501" s="6" t="str">
        <f t="shared" si="241"/>
        <v>本科</v>
      </c>
      <c r="I501" s="8" t="s">
        <v>16</v>
      </c>
    </row>
    <row r="502" spans="1:9" ht="24" customHeight="1">
      <c r="A502" s="5">
        <v>500</v>
      </c>
      <c r="B502" s="6" t="s">
        <v>32</v>
      </c>
      <c r="C502" s="6" t="str">
        <f>"周妤"</f>
        <v>周妤</v>
      </c>
      <c r="D502" s="6" t="str">
        <f t="shared" si="233"/>
        <v>女</v>
      </c>
      <c r="E502" s="6" t="str">
        <f>"1992-11-23"</f>
        <v>1992-11-23</v>
      </c>
      <c r="F502" s="6" t="str">
        <f>"海口经济学院"</f>
        <v>海口经济学院</v>
      </c>
      <c r="G502" s="6" t="str">
        <f t="shared" si="240"/>
        <v>财务管理</v>
      </c>
      <c r="H502" s="6" t="str">
        <f t="shared" si="241"/>
        <v>本科</v>
      </c>
      <c r="I502" s="8" t="s">
        <v>12</v>
      </c>
    </row>
    <row r="503" spans="1:9" ht="24" customHeight="1">
      <c r="A503" s="5">
        <v>501</v>
      </c>
      <c r="B503" s="6" t="s">
        <v>32</v>
      </c>
      <c r="C503" s="6" t="str">
        <f>"麦丹慧"</f>
        <v>麦丹慧</v>
      </c>
      <c r="D503" s="6" t="str">
        <f t="shared" si="233"/>
        <v>女</v>
      </c>
      <c r="E503" s="6" t="str">
        <f>"1997-04-05"</f>
        <v>1997-04-05</v>
      </c>
      <c r="F503" s="6" t="str">
        <f>"辽宁财贸学院"</f>
        <v>辽宁财贸学院</v>
      </c>
      <c r="G503" s="6" t="str">
        <f t="shared" si="240"/>
        <v>财务管理</v>
      </c>
      <c r="H503" s="6" t="str">
        <f t="shared" si="241"/>
        <v>本科</v>
      </c>
      <c r="I503" s="8" t="s">
        <v>16</v>
      </c>
    </row>
    <row r="504" spans="1:9" ht="24" customHeight="1">
      <c r="A504" s="5">
        <v>502</v>
      </c>
      <c r="B504" s="6" t="s">
        <v>32</v>
      </c>
      <c r="C504" s="6" t="str">
        <f>"莫朝颖"</f>
        <v>莫朝颖</v>
      </c>
      <c r="D504" s="6" t="str">
        <f t="shared" si="233"/>
        <v>女</v>
      </c>
      <c r="E504" s="6" t="str">
        <f>"1997-06-18"</f>
        <v>1997-06-18</v>
      </c>
      <c r="F504" s="6" t="str">
        <f>"海南大学"</f>
        <v>海南大学</v>
      </c>
      <c r="G504" s="6" t="str">
        <f>"会计学"</f>
        <v>会计学</v>
      </c>
      <c r="H504" s="6" t="str">
        <f t="shared" si="241"/>
        <v>本科</v>
      </c>
      <c r="I504" s="8" t="s">
        <v>16</v>
      </c>
    </row>
    <row r="505" spans="1:9" ht="24" customHeight="1">
      <c r="A505" s="5">
        <v>503</v>
      </c>
      <c r="B505" s="6" t="s">
        <v>32</v>
      </c>
      <c r="C505" s="6" t="str">
        <f>"王晶晶"</f>
        <v>王晶晶</v>
      </c>
      <c r="D505" s="6" t="str">
        <f t="shared" si="233"/>
        <v>女</v>
      </c>
      <c r="E505" s="6" t="str">
        <f>"1997-06-18"</f>
        <v>1997-06-18</v>
      </c>
      <c r="F505" s="6" t="str">
        <f>"吉林建筑大学"</f>
        <v>吉林建筑大学</v>
      </c>
      <c r="G505" s="6" t="str">
        <f>"财务管理专业"</f>
        <v>财务管理专业</v>
      </c>
      <c r="H505" s="6" t="str">
        <f t="shared" si="241"/>
        <v>本科</v>
      </c>
      <c r="I505" s="8" t="s">
        <v>16</v>
      </c>
    </row>
    <row r="506" spans="1:9" ht="24" customHeight="1">
      <c r="A506" s="5">
        <v>504</v>
      </c>
      <c r="B506" s="6" t="s">
        <v>32</v>
      </c>
      <c r="C506" s="6" t="str">
        <f>"王茜"</f>
        <v>王茜</v>
      </c>
      <c r="D506" s="6" t="str">
        <f t="shared" si="233"/>
        <v>女</v>
      </c>
      <c r="E506" s="6" t="str">
        <f>"1998-03-18"</f>
        <v>1998-03-18</v>
      </c>
      <c r="F506" s="6" t="str">
        <f>"济南大学泉城学院"</f>
        <v>济南大学泉城学院</v>
      </c>
      <c r="G506" s="6" t="str">
        <f aca="true" t="shared" si="242" ref="G506:G508">"财务管理"</f>
        <v>财务管理</v>
      </c>
      <c r="H506" s="6" t="str">
        <f t="shared" si="241"/>
        <v>本科</v>
      </c>
      <c r="I506" s="8" t="s">
        <v>12</v>
      </c>
    </row>
    <row r="507" spans="1:9" ht="24" customHeight="1">
      <c r="A507" s="5">
        <v>505</v>
      </c>
      <c r="B507" s="6" t="s">
        <v>32</v>
      </c>
      <c r="C507" s="6" t="str">
        <f>"林志丹"</f>
        <v>林志丹</v>
      </c>
      <c r="D507" s="6" t="str">
        <f t="shared" si="233"/>
        <v>女</v>
      </c>
      <c r="E507" s="6" t="str">
        <f>"1994-08-05"</f>
        <v>1994-08-05</v>
      </c>
      <c r="F507" s="6" t="str">
        <f>"云南省红河州红河学院"</f>
        <v>云南省红河州红河学院</v>
      </c>
      <c r="G507" s="6" t="str">
        <f t="shared" si="242"/>
        <v>财务管理</v>
      </c>
      <c r="H507" s="6" t="str">
        <f t="shared" si="241"/>
        <v>本科</v>
      </c>
      <c r="I507" s="8" t="s">
        <v>12</v>
      </c>
    </row>
    <row r="508" spans="1:9" ht="24" customHeight="1">
      <c r="A508" s="5">
        <v>506</v>
      </c>
      <c r="B508" s="6" t="s">
        <v>32</v>
      </c>
      <c r="C508" s="6" t="str">
        <f>"苏恩萍"</f>
        <v>苏恩萍</v>
      </c>
      <c r="D508" s="6" t="str">
        <f t="shared" si="233"/>
        <v>女</v>
      </c>
      <c r="E508" s="6" t="str">
        <f>"1995-03-10"</f>
        <v>1995-03-10</v>
      </c>
      <c r="F508" s="6" t="str">
        <f>"海口经济学院"</f>
        <v>海口经济学院</v>
      </c>
      <c r="G508" s="6" t="str">
        <f t="shared" si="242"/>
        <v>财务管理</v>
      </c>
      <c r="H508" s="6" t="str">
        <f t="shared" si="241"/>
        <v>本科</v>
      </c>
      <c r="I508" s="8" t="s">
        <v>12</v>
      </c>
    </row>
    <row r="509" spans="1:9" ht="24" customHeight="1">
      <c r="A509" s="5">
        <v>507</v>
      </c>
      <c r="B509" s="6" t="s">
        <v>32</v>
      </c>
      <c r="C509" s="6" t="str">
        <f>"陈修富"</f>
        <v>陈修富</v>
      </c>
      <c r="D509" s="6" t="str">
        <f>"男"</f>
        <v>男</v>
      </c>
      <c r="E509" s="6" t="str">
        <f>"1997-08-07"</f>
        <v>1997-08-07</v>
      </c>
      <c r="F509" s="6" t="str">
        <f>"山西财经大学"</f>
        <v>山西财经大学</v>
      </c>
      <c r="G509" s="6" t="str">
        <f>"会计学"</f>
        <v>会计学</v>
      </c>
      <c r="H509" s="6" t="str">
        <f t="shared" si="241"/>
        <v>本科</v>
      </c>
      <c r="I509" s="8" t="s">
        <v>16</v>
      </c>
    </row>
    <row r="510" spans="1:9" ht="24" customHeight="1">
      <c r="A510" s="5">
        <v>508</v>
      </c>
      <c r="B510" s="6" t="s">
        <v>32</v>
      </c>
      <c r="C510" s="6" t="str">
        <f>"王贵引"</f>
        <v>王贵引</v>
      </c>
      <c r="D510" s="6" t="str">
        <f aca="true" t="shared" si="243" ref="D510:D515">"女"</f>
        <v>女</v>
      </c>
      <c r="E510" s="6" t="str">
        <f>"1996-07-17"</f>
        <v>1996-07-17</v>
      </c>
      <c r="F510" s="6" t="str">
        <f>"琼台师范学院"</f>
        <v>琼台师范学院</v>
      </c>
      <c r="G510" s="6" t="str">
        <f>"财务管理"</f>
        <v>财务管理</v>
      </c>
      <c r="H510" s="6" t="str">
        <f>"大专"</f>
        <v>大专</v>
      </c>
      <c r="I510" s="8" t="s">
        <v>12</v>
      </c>
    </row>
    <row r="511" spans="1:9" ht="24" customHeight="1">
      <c r="A511" s="5">
        <v>509</v>
      </c>
      <c r="B511" s="6" t="s">
        <v>33</v>
      </c>
      <c r="C511" s="6" t="str">
        <f>"林芳妙"</f>
        <v>林芳妙</v>
      </c>
      <c r="D511" s="6" t="str">
        <f t="shared" si="243"/>
        <v>女</v>
      </c>
      <c r="E511" s="6" t="str">
        <f>"1995-01-28"</f>
        <v>1995-01-28</v>
      </c>
      <c r="F511" s="6" t="str">
        <f>"辽宁财贸学院"</f>
        <v>辽宁财贸学院</v>
      </c>
      <c r="G511" s="6" t="str">
        <f>"行政管理"</f>
        <v>行政管理</v>
      </c>
      <c r="H511" s="6" t="str">
        <f aca="true" t="shared" si="244" ref="H511:H536">"本科"</f>
        <v>本科</v>
      </c>
      <c r="I511" s="8" t="s">
        <v>16</v>
      </c>
    </row>
    <row r="512" spans="1:9" ht="24" customHeight="1">
      <c r="A512" s="5">
        <v>510</v>
      </c>
      <c r="B512" s="6" t="s">
        <v>33</v>
      </c>
      <c r="C512" s="6" t="str">
        <f>"李文雪"</f>
        <v>李文雪</v>
      </c>
      <c r="D512" s="6" t="str">
        <f t="shared" si="243"/>
        <v>女</v>
      </c>
      <c r="E512" s="6" t="str">
        <f>"1993-06-07"</f>
        <v>1993-06-07</v>
      </c>
      <c r="F512" s="6" t="str">
        <f>"三亚学院"</f>
        <v>三亚学院</v>
      </c>
      <c r="G512" s="6" t="str">
        <f aca="true" t="shared" si="245" ref="G512:G515">"人力资源管理"</f>
        <v>人力资源管理</v>
      </c>
      <c r="H512" s="6" t="str">
        <f t="shared" si="244"/>
        <v>本科</v>
      </c>
      <c r="I512" s="8" t="s">
        <v>16</v>
      </c>
    </row>
    <row r="513" spans="1:9" ht="24" customHeight="1">
      <c r="A513" s="5">
        <v>511</v>
      </c>
      <c r="B513" s="6" t="s">
        <v>33</v>
      </c>
      <c r="C513" s="6" t="str">
        <f>"王宏妍"</f>
        <v>王宏妍</v>
      </c>
      <c r="D513" s="6" t="str">
        <f t="shared" si="243"/>
        <v>女</v>
      </c>
      <c r="E513" s="6" t="str">
        <f>"1996-02-15"</f>
        <v>1996-02-15</v>
      </c>
      <c r="F513" s="6" t="str">
        <f>"重庆人文科技学院 "</f>
        <v>重庆人文科技学院 </v>
      </c>
      <c r="G513" s="6" t="str">
        <f t="shared" si="245"/>
        <v>人力资源管理</v>
      </c>
      <c r="H513" s="6" t="str">
        <f t="shared" si="244"/>
        <v>本科</v>
      </c>
      <c r="I513" s="8" t="s">
        <v>16</v>
      </c>
    </row>
    <row r="514" spans="1:9" ht="24" customHeight="1">
      <c r="A514" s="5">
        <v>512</v>
      </c>
      <c r="B514" s="6" t="s">
        <v>33</v>
      </c>
      <c r="C514" s="6" t="str">
        <f>"杨子涵"</f>
        <v>杨子涵</v>
      </c>
      <c r="D514" s="6" t="str">
        <f t="shared" si="243"/>
        <v>女</v>
      </c>
      <c r="E514" s="6" t="str">
        <f>"1997-12-23"</f>
        <v>1997-12-23</v>
      </c>
      <c r="F514" s="6" t="str">
        <f>"辽宁对外经贸学院"</f>
        <v>辽宁对外经贸学院</v>
      </c>
      <c r="G514" s="6" t="str">
        <f t="shared" si="245"/>
        <v>人力资源管理</v>
      </c>
      <c r="H514" s="6" t="str">
        <f t="shared" si="244"/>
        <v>本科</v>
      </c>
      <c r="I514" s="8" t="s">
        <v>16</v>
      </c>
    </row>
    <row r="515" spans="1:9" ht="24" customHeight="1">
      <c r="A515" s="5">
        <v>513</v>
      </c>
      <c r="B515" s="6" t="s">
        <v>33</v>
      </c>
      <c r="C515" s="6" t="str">
        <f>"吴昕恬"</f>
        <v>吴昕恬</v>
      </c>
      <c r="D515" s="6" t="str">
        <f t="shared" si="243"/>
        <v>女</v>
      </c>
      <c r="E515" s="6" t="str">
        <f>"1994-01-25"</f>
        <v>1994-01-25</v>
      </c>
      <c r="F515" s="6" t="str">
        <f>"三亚学院"</f>
        <v>三亚学院</v>
      </c>
      <c r="G515" s="6" t="str">
        <f t="shared" si="245"/>
        <v>人力资源管理</v>
      </c>
      <c r="H515" s="6" t="str">
        <f t="shared" si="244"/>
        <v>本科</v>
      </c>
      <c r="I515" s="8" t="s">
        <v>16</v>
      </c>
    </row>
    <row r="516" spans="1:9" ht="24" customHeight="1">
      <c r="A516" s="5">
        <v>514</v>
      </c>
      <c r="B516" s="6" t="s">
        <v>33</v>
      </c>
      <c r="C516" s="6" t="str">
        <f>"蔡於旺"</f>
        <v>蔡於旺</v>
      </c>
      <c r="D516" s="6" t="str">
        <f>"男"</f>
        <v>男</v>
      </c>
      <c r="E516" s="6" t="str">
        <f>"1999-02-28"</f>
        <v>1999-02-28</v>
      </c>
      <c r="F516" s="6" t="str">
        <f>"辽宁财贸学院"</f>
        <v>辽宁财贸学院</v>
      </c>
      <c r="G516" s="6" t="str">
        <f>"行政管理"</f>
        <v>行政管理</v>
      </c>
      <c r="H516" s="6" t="str">
        <f t="shared" si="244"/>
        <v>本科</v>
      </c>
      <c r="I516" s="8" t="s">
        <v>16</v>
      </c>
    </row>
    <row r="517" spans="1:9" ht="24" customHeight="1">
      <c r="A517" s="5">
        <v>515</v>
      </c>
      <c r="B517" s="6" t="s">
        <v>33</v>
      </c>
      <c r="C517" s="6" t="str">
        <f>"张红珍"</f>
        <v>张红珍</v>
      </c>
      <c r="D517" s="6" t="str">
        <f aca="true" t="shared" si="246" ref="D517:D525">"女"</f>
        <v>女</v>
      </c>
      <c r="E517" s="6" t="str">
        <f>"1996-03-18"</f>
        <v>1996-03-18</v>
      </c>
      <c r="F517" s="6" t="str">
        <f>"山东农业大学"</f>
        <v>山东农业大学</v>
      </c>
      <c r="G517" s="6" t="str">
        <f>"行政管理"</f>
        <v>行政管理</v>
      </c>
      <c r="H517" s="6" t="str">
        <f t="shared" si="244"/>
        <v>本科</v>
      </c>
      <c r="I517" s="8" t="s">
        <v>16</v>
      </c>
    </row>
    <row r="518" spans="1:9" ht="24" customHeight="1">
      <c r="A518" s="5">
        <v>516</v>
      </c>
      <c r="B518" s="6" t="s">
        <v>33</v>
      </c>
      <c r="C518" s="6" t="str">
        <f>"蒙美珠"</f>
        <v>蒙美珠</v>
      </c>
      <c r="D518" s="6" t="str">
        <f t="shared" si="246"/>
        <v>女</v>
      </c>
      <c r="E518" s="6" t="str">
        <f>"1995-03-12"</f>
        <v>1995-03-12</v>
      </c>
      <c r="F518" s="6" t="str">
        <f>"西安外事学院"</f>
        <v>西安外事学院</v>
      </c>
      <c r="G518" s="6" t="str">
        <f aca="true" t="shared" si="247" ref="G518:G522">"人力资源管理"</f>
        <v>人力资源管理</v>
      </c>
      <c r="H518" s="6" t="str">
        <f t="shared" si="244"/>
        <v>本科</v>
      </c>
      <c r="I518" s="8" t="s">
        <v>16</v>
      </c>
    </row>
    <row r="519" spans="1:9" ht="24" customHeight="1">
      <c r="A519" s="5">
        <v>517</v>
      </c>
      <c r="B519" s="6" t="s">
        <v>33</v>
      </c>
      <c r="C519" s="6" t="str">
        <f>"程财英"</f>
        <v>程财英</v>
      </c>
      <c r="D519" s="6" t="str">
        <f t="shared" si="246"/>
        <v>女</v>
      </c>
      <c r="E519" s="6" t="str">
        <f>"1996-12-19"</f>
        <v>1996-12-19</v>
      </c>
      <c r="F519" s="6" t="str">
        <f>"华东交通大学"</f>
        <v>华东交通大学</v>
      </c>
      <c r="G519" s="6" t="str">
        <f t="shared" si="247"/>
        <v>人力资源管理</v>
      </c>
      <c r="H519" s="6" t="str">
        <f t="shared" si="244"/>
        <v>本科</v>
      </c>
      <c r="I519" s="8" t="s">
        <v>16</v>
      </c>
    </row>
    <row r="520" spans="1:9" ht="24" customHeight="1">
      <c r="A520" s="5">
        <v>518</v>
      </c>
      <c r="B520" s="6" t="s">
        <v>33</v>
      </c>
      <c r="C520" s="6" t="str">
        <f>"许馨斤"</f>
        <v>许馨斤</v>
      </c>
      <c r="D520" s="6" t="str">
        <f t="shared" si="246"/>
        <v>女</v>
      </c>
      <c r="E520" s="6" t="str">
        <f>"1995-07-03"</f>
        <v>1995-07-03</v>
      </c>
      <c r="F520" s="6" t="str">
        <f>"重庆理工大学"</f>
        <v>重庆理工大学</v>
      </c>
      <c r="G520" s="6" t="str">
        <f>"人力资源管理专业"</f>
        <v>人力资源管理专业</v>
      </c>
      <c r="H520" s="6" t="str">
        <f t="shared" si="244"/>
        <v>本科</v>
      </c>
      <c r="I520" s="8" t="s">
        <v>16</v>
      </c>
    </row>
    <row r="521" spans="1:9" ht="24" customHeight="1">
      <c r="A521" s="5">
        <v>519</v>
      </c>
      <c r="B521" s="6" t="s">
        <v>33</v>
      </c>
      <c r="C521" s="6" t="str">
        <f>"钟晶"</f>
        <v>钟晶</v>
      </c>
      <c r="D521" s="6" t="str">
        <f t="shared" si="246"/>
        <v>女</v>
      </c>
      <c r="E521" s="6" t="str">
        <f>"1995-09-26"</f>
        <v>1995-09-26</v>
      </c>
      <c r="F521" s="6" t="str">
        <f>"海口经济学院"</f>
        <v>海口经济学院</v>
      </c>
      <c r="G521" s="6" t="str">
        <f t="shared" si="247"/>
        <v>人力资源管理</v>
      </c>
      <c r="H521" s="6" t="str">
        <f t="shared" si="244"/>
        <v>本科</v>
      </c>
      <c r="I521" s="8" t="s">
        <v>16</v>
      </c>
    </row>
    <row r="522" spans="1:9" ht="24" customHeight="1">
      <c r="A522" s="5">
        <v>520</v>
      </c>
      <c r="B522" s="6" t="s">
        <v>33</v>
      </c>
      <c r="C522" s="6" t="str">
        <f>"吴小桐"</f>
        <v>吴小桐</v>
      </c>
      <c r="D522" s="6" t="str">
        <f t="shared" si="246"/>
        <v>女</v>
      </c>
      <c r="E522" s="6" t="str">
        <f>"1998-12-10"</f>
        <v>1998-12-10</v>
      </c>
      <c r="F522" s="6" t="str">
        <f>"重庆工商大学"</f>
        <v>重庆工商大学</v>
      </c>
      <c r="G522" s="6" t="str">
        <f t="shared" si="247"/>
        <v>人力资源管理</v>
      </c>
      <c r="H522" s="6" t="str">
        <f t="shared" si="244"/>
        <v>本科</v>
      </c>
      <c r="I522" s="8" t="s">
        <v>16</v>
      </c>
    </row>
    <row r="523" spans="1:9" ht="24" customHeight="1">
      <c r="A523" s="5">
        <v>521</v>
      </c>
      <c r="B523" s="6" t="s">
        <v>33</v>
      </c>
      <c r="C523" s="6" t="str">
        <f>"高建玉"</f>
        <v>高建玉</v>
      </c>
      <c r="D523" s="6" t="str">
        <f t="shared" si="246"/>
        <v>女</v>
      </c>
      <c r="E523" s="6" t="str">
        <f>"1997-04-17"</f>
        <v>1997-04-17</v>
      </c>
      <c r="F523" s="6" t="str">
        <f aca="true" t="shared" si="248" ref="F523:F527">"三亚学院"</f>
        <v>三亚学院</v>
      </c>
      <c r="G523" s="6" t="str">
        <f>"行政管理"</f>
        <v>行政管理</v>
      </c>
      <c r="H523" s="6" t="str">
        <f t="shared" si="244"/>
        <v>本科</v>
      </c>
      <c r="I523" s="8" t="s">
        <v>16</v>
      </c>
    </row>
    <row r="524" spans="1:9" ht="24" customHeight="1">
      <c r="A524" s="5">
        <v>522</v>
      </c>
      <c r="B524" s="6" t="s">
        <v>33</v>
      </c>
      <c r="C524" s="6" t="str">
        <f>"陶雅"</f>
        <v>陶雅</v>
      </c>
      <c r="D524" s="6" t="str">
        <f t="shared" si="246"/>
        <v>女</v>
      </c>
      <c r="E524" s="6" t="str">
        <f>"1993-11-27"</f>
        <v>1993-11-27</v>
      </c>
      <c r="F524" s="6" t="str">
        <f>"海口经济学院"</f>
        <v>海口经济学院</v>
      </c>
      <c r="G524" s="6" t="str">
        <f aca="true" t="shared" si="249" ref="G524:G530">"人力资源管理"</f>
        <v>人力资源管理</v>
      </c>
      <c r="H524" s="6" t="str">
        <f t="shared" si="244"/>
        <v>本科</v>
      </c>
      <c r="I524" s="8" t="s">
        <v>16</v>
      </c>
    </row>
    <row r="525" spans="1:9" ht="24" customHeight="1">
      <c r="A525" s="5">
        <v>523</v>
      </c>
      <c r="B525" s="6" t="s">
        <v>33</v>
      </c>
      <c r="C525" s="6" t="str">
        <f>"王倩倩"</f>
        <v>王倩倩</v>
      </c>
      <c r="D525" s="6" t="str">
        <f t="shared" si="246"/>
        <v>女</v>
      </c>
      <c r="E525" s="6" t="str">
        <f>"1996-09-12"</f>
        <v>1996-09-12</v>
      </c>
      <c r="F525" s="6" t="str">
        <f>"海南大学"</f>
        <v>海南大学</v>
      </c>
      <c r="G525" s="6" t="str">
        <f>"行政管理专业"</f>
        <v>行政管理专业</v>
      </c>
      <c r="H525" s="6" t="str">
        <f t="shared" si="244"/>
        <v>本科</v>
      </c>
      <c r="I525" s="8" t="s">
        <v>16</v>
      </c>
    </row>
    <row r="526" spans="1:9" ht="24" customHeight="1">
      <c r="A526" s="5">
        <v>524</v>
      </c>
      <c r="B526" s="6" t="s">
        <v>33</v>
      </c>
      <c r="C526" s="6" t="str">
        <f>"尹政斌"</f>
        <v>尹政斌</v>
      </c>
      <c r="D526" s="6" t="str">
        <f aca="true" t="shared" si="250" ref="D526:D529">"男"</f>
        <v>男</v>
      </c>
      <c r="E526" s="6" t="str">
        <f>"1997-02-26"</f>
        <v>1997-02-26</v>
      </c>
      <c r="F526" s="6" t="str">
        <f t="shared" si="248"/>
        <v>三亚学院</v>
      </c>
      <c r="G526" s="6" t="str">
        <f>"行政管理"</f>
        <v>行政管理</v>
      </c>
      <c r="H526" s="6" t="str">
        <f t="shared" si="244"/>
        <v>本科</v>
      </c>
      <c r="I526" s="8" t="s">
        <v>16</v>
      </c>
    </row>
    <row r="527" spans="1:9" ht="24" customHeight="1">
      <c r="A527" s="5">
        <v>525</v>
      </c>
      <c r="B527" s="6" t="s">
        <v>33</v>
      </c>
      <c r="C527" s="6" t="str">
        <f>"王靖"</f>
        <v>王靖</v>
      </c>
      <c r="D527" s="6" t="str">
        <f aca="true" t="shared" si="251" ref="D527:D536">"女"</f>
        <v>女</v>
      </c>
      <c r="E527" s="6" t="str">
        <f>"1993-09-15"</f>
        <v>1993-09-15</v>
      </c>
      <c r="F527" s="6" t="str">
        <f t="shared" si="248"/>
        <v>三亚学院</v>
      </c>
      <c r="G527" s="6" t="str">
        <f t="shared" si="249"/>
        <v>人力资源管理</v>
      </c>
      <c r="H527" s="6" t="str">
        <f t="shared" si="244"/>
        <v>本科</v>
      </c>
      <c r="I527" s="8" t="s">
        <v>16</v>
      </c>
    </row>
    <row r="528" spans="1:9" ht="24" customHeight="1">
      <c r="A528" s="5">
        <v>526</v>
      </c>
      <c r="B528" s="6" t="s">
        <v>33</v>
      </c>
      <c r="C528" s="6" t="str">
        <f>"何石佳"</f>
        <v>何石佳</v>
      </c>
      <c r="D528" s="6" t="str">
        <f t="shared" si="250"/>
        <v>男</v>
      </c>
      <c r="E528" s="6" t="str">
        <f>"1994-02-22"</f>
        <v>1994-02-22</v>
      </c>
      <c r="F528" s="6" t="str">
        <f>"海口经济学院"</f>
        <v>海口经济学院</v>
      </c>
      <c r="G528" s="6" t="str">
        <f t="shared" si="249"/>
        <v>人力资源管理</v>
      </c>
      <c r="H528" s="6" t="str">
        <f t="shared" si="244"/>
        <v>本科</v>
      </c>
      <c r="I528" s="8" t="s">
        <v>16</v>
      </c>
    </row>
    <row r="529" spans="1:9" ht="24" customHeight="1">
      <c r="A529" s="5">
        <v>527</v>
      </c>
      <c r="B529" s="6" t="s">
        <v>33</v>
      </c>
      <c r="C529" s="6" t="str">
        <f>"唐海宽"</f>
        <v>唐海宽</v>
      </c>
      <c r="D529" s="6" t="str">
        <f t="shared" si="250"/>
        <v>男</v>
      </c>
      <c r="E529" s="6" t="str">
        <f>"1995-05-27"</f>
        <v>1995-05-27</v>
      </c>
      <c r="F529" s="6" t="str">
        <f>"江西科技学院"</f>
        <v>江西科技学院</v>
      </c>
      <c r="G529" s="6" t="str">
        <f t="shared" si="249"/>
        <v>人力资源管理</v>
      </c>
      <c r="H529" s="6" t="str">
        <f t="shared" si="244"/>
        <v>本科</v>
      </c>
      <c r="I529" s="8" t="s">
        <v>16</v>
      </c>
    </row>
    <row r="530" spans="1:9" ht="24" customHeight="1">
      <c r="A530" s="5">
        <v>528</v>
      </c>
      <c r="B530" s="6" t="s">
        <v>33</v>
      </c>
      <c r="C530" s="6" t="str">
        <f>"李秀羽"</f>
        <v>李秀羽</v>
      </c>
      <c r="D530" s="6" t="str">
        <f t="shared" si="251"/>
        <v>女</v>
      </c>
      <c r="E530" s="6" t="str">
        <f>"1996-08-03"</f>
        <v>1996-08-03</v>
      </c>
      <c r="F530" s="6" t="str">
        <f>"哈尔滨商业大学"</f>
        <v>哈尔滨商业大学</v>
      </c>
      <c r="G530" s="6" t="str">
        <f t="shared" si="249"/>
        <v>人力资源管理</v>
      </c>
      <c r="H530" s="6" t="str">
        <f t="shared" si="244"/>
        <v>本科</v>
      </c>
      <c r="I530" s="8" t="s">
        <v>16</v>
      </c>
    </row>
    <row r="531" spans="1:9" ht="24" customHeight="1">
      <c r="A531" s="5">
        <v>529</v>
      </c>
      <c r="B531" s="6" t="s">
        <v>33</v>
      </c>
      <c r="C531" s="6" t="str">
        <f>"刘思雨"</f>
        <v>刘思雨</v>
      </c>
      <c r="D531" s="6" t="str">
        <f t="shared" si="251"/>
        <v>女</v>
      </c>
      <c r="E531" s="6" t="str">
        <f>"1997-07-26"</f>
        <v>1997-07-26</v>
      </c>
      <c r="F531" s="6" t="str">
        <f>"南京师范大学中北学院"</f>
        <v>南京师范大学中北学院</v>
      </c>
      <c r="G531" s="6" t="str">
        <f aca="true" t="shared" si="252" ref="G531:G534">"行政管理"</f>
        <v>行政管理</v>
      </c>
      <c r="H531" s="6" t="str">
        <f t="shared" si="244"/>
        <v>本科</v>
      </c>
      <c r="I531" s="8" t="s">
        <v>16</v>
      </c>
    </row>
    <row r="532" spans="1:9" ht="24" customHeight="1">
      <c r="A532" s="5">
        <v>530</v>
      </c>
      <c r="B532" s="6" t="s">
        <v>33</v>
      </c>
      <c r="C532" s="6" t="str">
        <f>"麦秋翠"</f>
        <v>麦秋翠</v>
      </c>
      <c r="D532" s="6" t="str">
        <f t="shared" si="251"/>
        <v>女</v>
      </c>
      <c r="E532" s="6" t="str">
        <f>"1992-11-03"</f>
        <v>1992-11-03</v>
      </c>
      <c r="F532" s="6" t="str">
        <f>"曲阜师范大学"</f>
        <v>曲阜师范大学</v>
      </c>
      <c r="G532" s="6" t="str">
        <f t="shared" si="252"/>
        <v>行政管理</v>
      </c>
      <c r="H532" s="6" t="str">
        <f t="shared" si="244"/>
        <v>本科</v>
      </c>
      <c r="I532" s="8" t="s">
        <v>16</v>
      </c>
    </row>
    <row r="533" spans="1:9" ht="24" customHeight="1">
      <c r="A533" s="5">
        <v>531</v>
      </c>
      <c r="B533" s="6" t="s">
        <v>33</v>
      </c>
      <c r="C533" s="6" t="str">
        <f>"陈凤珠"</f>
        <v>陈凤珠</v>
      </c>
      <c r="D533" s="6" t="str">
        <f t="shared" si="251"/>
        <v>女</v>
      </c>
      <c r="E533" s="6" t="str">
        <f>"1995-07-17"</f>
        <v>1995-07-17</v>
      </c>
      <c r="F533" s="6" t="str">
        <f>"甘肃政法学院"</f>
        <v>甘肃政法学院</v>
      </c>
      <c r="G533" s="6" t="str">
        <f t="shared" si="252"/>
        <v>行政管理</v>
      </c>
      <c r="H533" s="6" t="str">
        <f t="shared" si="244"/>
        <v>本科</v>
      </c>
      <c r="I533" s="8" t="s">
        <v>16</v>
      </c>
    </row>
    <row r="534" spans="1:9" ht="24" customHeight="1">
      <c r="A534" s="5">
        <v>532</v>
      </c>
      <c r="B534" s="6" t="s">
        <v>33</v>
      </c>
      <c r="C534" s="6" t="str">
        <f>"刘颖"</f>
        <v>刘颖</v>
      </c>
      <c r="D534" s="6" t="str">
        <f t="shared" si="251"/>
        <v>女</v>
      </c>
      <c r="E534" s="6" t="str">
        <f>"1999-12-04"</f>
        <v>1999-12-04</v>
      </c>
      <c r="F534" s="6" t="str">
        <f>"江苏师范大学"</f>
        <v>江苏师范大学</v>
      </c>
      <c r="G534" s="6" t="str">
        <f t="shared" si="252"/>
        <v>行政管理</v>
      </c>
      <c r="H534" s="6" t="str">
        <f t="shared" si="244"/>
        <v>本科</v>
      </c>
      <c r="I534" s="8" t="s">
        <v>16</v>
      </c>
    </row>
    <row r="535" spans="1:9" ht="24" customHeight="1">
      <c r="A535" s="5">
        <v>533</v>
      </c>
      <c r="B535" s="6" t="s">
        <v>33</v>
      </c>
      <c r="C535" s="6" t="str">
        <f>"李婉琴"</f>
        <v>李婉琴</v>
      </c>
      <c r="D535" s="6" t="str">
        <f t="shared" si="251"/>
        <v>女</v>
      </c>
      <c r="E535" s="6" t="str">
        <f>"1997-03-06"</f>
        <v>1997-03-06</v>
      </c>
      <c r="F535" s="6" t="str">
        <f>"无锡太湖学院"</f>
        <v>无锡太湖学院</v>
      </c>
      <c r="G535" s="6" t="str">
        <f>"人力资源管理专业"</f>
        <v>人力资源管理专业</v>
      </c>
      <c r="H535" s="6" t="str">
        <f t="shared" si="244"/>
        <v>本科</v>
      </c>
      <c r="I535" s="8" t="s">
        <v>16</v>
      </c>
    </row>
    <row r="536" spans="1:9" ht="24" customHeight="1">
      <c r="A536" s="5">
        <v>534</v>
      </c>
      <c r="B536" s="6" t="s">
        <v>33</v>
      </c>
      <c r="C536" s="6" t="str">
        <f>"林曼妮"</f>
        <v>林曼妮</v>
      </c>
      <c r="D536" s="6" t="str">
        <f t="shared" si="251"/>
        <v>女</v>
      </c>
      <c r="E536" s="6" t="str">
        <f>"1995-08-08"</f>
        <v>1995-08-08</v>
      </c>
      <c r="F536" s="6" t="str">
        <f>"海南大学"</f>
        <v>海南大学</v>
      </c>
      <c r="G536" s="6" t="str">
        <f>"行政管理（行政文秘方向）"</f>
        <v>行政管理（行政文秘方向）</v>
      </c>
      <c r="H536" s="6" t="str">
        <f t="shared" si="244"/>
        <v>本科</v>
      </c>
      <c r="I536" s="8" t="s">
        <v>16</v>
      </c>
    </row>
  </sheetData>
  <sheetProtection/>
  <mergeCells count="1">
    <mergeCell ref="A1:I1"/>
  </mergeCells>
  <printOptions/>
  <pageMargins left="0.2361111111111111" right="0.19652777777777777" top="0.3145833333333333" bottom="0.15694444444444444" header="0.2361111111111111" footer="0.2361111111111111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RSK-LC</dc:creator>
  <cp:keywords/>
  <dc:description/>
  <cp:lastModifiedBy>m͛o͛s͛a͛</cp:lastModifiedBy>
  <dcterms:created xsi:type="dcterms:W3CDTF">2020-11-13T02:44:27Z</dcterms:created>
  <dcterms:modified xsi:type="dcterms:W3CDTF">2020-11-30T09:22:55Z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