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名单" sheetId="1" r:id="rId1"/>
  </sheets>
  <definedNames/>
  <calcPr fullCalcOnLoad="1"/>
</workbook>
</file>

<file path=xl/sharedStrings.xml><?xml version="1.0" encoding="utf-8"?>
<sst xmlns="http://schemas.openxmlformats.org/spreadsheetml/2006/main" count="2413" uniqueCount="14">
  <si>
    <t>2020年海棠区教育局下属事业单位公开招聘通过资格初审进入笔试人员名单</t>
  </si>
  <si>
    <t>序号</t>
  </si>
  <si>
    <t>报考号</t>
  </si>
  <si>
    <t>报考岗位</t>
  </si>
  <si>
    <t>姓名</t>
  </si>
  <si>
    <t>性别</t>
  </si>
  <si>
    <t>出生年月</t>
  </si>
  <si>
    <t>备注</t>
  </si>
  <si>
    <t>0101_小学语文教师</t>
  </si>
  <si>
    <t>0102_小学数学教师</t>
  </si>
  <si>
    <t>0103_小学英语教师</t>
  </si>
  <si>
    <t>0104_小学信息技术教师</t>
  </si>
  <si>
    <t>0105_小学语文教师（贫困）</t>
  </si>
  <si>
    <t>0106_小学数学教师（贫困）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</si>
</sst>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6"/>
      <color indexed="8"/>
      <name val="宋体"/>
      <family val="0"/>
    </font>
    <font>
      <sz val="11"/>
      <color indexed="9"/>
      <name val="宋体"/>
      <family val="0"/>
    </font>
    <font>
      <sz val="11"/>
      <color indexed="53"/>
      <name val="宋体"/>
      <family val="0"/>
    </font>
    <font>
      <b/>
      <sz val="15"/>
      <color indexed="54"/>
      <name val="宋体"/>
      <family val="0"/>
    </font>
    <font>
      <sz val="11"/>
      <color indexed="16"/>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0">
    <xf numFmtId="0" fontId="0" fillId="0" borderId="0" xfId="0" applyFont="1" applyAlignment="1">
      <alignment vertical="center"/>
    </xf>
    <xf numFmtId="0" fontId="37" fillId="0" borderId="0" xfId="0" applyFont="1" applyAlignment="1">
      <alignment vertical="center"/>
    </xf>
    <xf numFmtId="0" fontId="0" fillId="0" borderId="0" xfId="0" applyAlignment="1">
      <alignment horizontal="center" vertical="center"/>
    </xf>
    <xf numFmtId="0" fontId="40" fillId="0" borderId="9" xfId="0" applyFont="1" applyBorder="1" applyAlignment="1">
      <alignment horizontal="center" vertical="center"/>
    </xf>
    <xf numFmtId="0" fontId="37" fillId="0" borderId="9" xfId="0" applyFont="1" applyBorder="1" applyAlignment="1">
      <alignment horizontal="center" vertical="center"/>
    </xf>
    <xf numFmtId="0" fontId="37" fillId="0" borderId="9" xfId="0" applyFont="1" applyBorder="1" applyAlignment="1">
      <alignment horizontal="center" vertical="center" wrapText="1"/>
    </xf>
    <xf numFmtId="0" fontId="37" fillId="0" borderId="9" xfId="0" applyFont="1"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07"/>
  <sheetViews>
    <sheetView tabSelected="1" workbookViewId="0" topLeftCell="A1">
      <selection activeCell="J8" sqref="J8"/>
    </sheetView>
  </sheetViews>
  <sheetFormatPr defaultColWidth="9.00390625" defaultRowHeight="15"/>
  <cols>
    <col min="1" max="1" width="7.421875" style="2" customWidth="1"/>
    <col min="2" max="2" width="24.57421875" style="0" customWidth="1"/>
    <col min="3" max="3" width="25.00390625" style="0" customWidth="1"/>
    <col min="5" max="5" width="6.7109375" style="0" customWidth="1"/>
    <col min="6" max="6" width="18.00390625" style="0" customWidth="1"/>
  </cols>
  <sheetData>
    <row r="1" spans="1:7" ht="20.25">
      <c r="A1" s="3" t="s">
        <v>0</v>
      </c>
      <c r="B1" s="3"/>
      <c r="C1" s="3"/>
      <c r="D1" s="3"/>
      <c r="E1" s="3"/>
      <c r="F1" s="3"/>
      <c r="G1" s="3"/>
    </row>
    <row r="2" spans="1:7" s="1" customFormat="1" ht="13.5">
      <c r="A2" s="4" t="s">
        <v>1</v>
      </c>
      <c r="B2" s="5" t="s">
        <v>2</v>
      </c>
      <c r="C2" s="5" t="s">
        <v>3</v>
      </c>
      <c r="D2" s="5" t="s">
        <v>4</v>
      </c>
      <c r="E2" s="5" t="s">
        <v>5</v>
      </c>
      <c r="F2" s="5" t="s">
        <v>6</v>
      </c>
      <c r="G2" s="6" t="s">
        <v>7</v>
      </c>
    </row>
    <row r="3" spans="1:7" ht="13.5">
      <c r="A3" s="7">
        <v>1</v>
      </c>
      <c r="B3" s="8" t="str">
        <f>"2341202008310901192"</f>
        <v>2341202008310901192</v>
      </c>
      <c r="C3" s="8" t="s">
        <v>8</v>
      </c>
      <c r="D3" s="8" t="str">
        <f>"陈清雅"</f>
        <v>陈清雅</v>
      </c>
      <c r="E3" s="8" t="str">
        <f>"女"</f>
        <v>女</v>
      </c>
      <c r="F3" s="8" t="str">
        <f>"1985-10-27"</f>
        <v>1985-10-27</v>
      </c>
      <c r="G3" s="9"/>
    </row>
    <row r="4" spans="1:7" ht="13.5">
      <c r="A4" s="7">
        <v>2</v>
      </c>
      <c r="B4" s="8" t="str">
        <f>"2341202008310902066"</f>
        <v>2341202008310902066</v>
      </c>
      <c r="C4" s="8" t="s">
        <v>8</v>
      </c>
      <c r="D4" s="8" t="str">
        <f>"段红琳"</f>
        <v>段红琳</v>
      </c>
      <c r="E4" s="8" t="str">
        <f>"女"</f>
        <v>女</v>
      </c>
      <c r="F4" s="8" t="str">
        <f>"1997-08-03"</f>
        <v>1997-08-03</v>
      </c>
      <c r="G4" s="9"/>
    </row>
    <row r="5" spans="1:7" ht="13.5">
      <c r="A5" s="7">
        <v>3</v>
      </c>
      <c r="B5" s="8" t="str">
        <f>"2341202008310902077"</f>
        <v>2341202008310902077</v>
      </c>
      <c r="C5" s="8" t="s">
        <v>8</v>
      </c>
      <c r="D5" s="8" t="str">
        <f>"蒋莉"</f>
        <v>蒋莉</v>
      </c>
      <c r="E5" s="8" t="str">
        <f>"女"</f>
        <v>女</v>
      </c>
      <c r="F5" s="8" t="str">
        <f>"1993-11-01"</f>
        <v>1993-11-01</v>
      </c>
      <c r="G5" s="9"/>
    </row>
    <row r="6" spans="1:7" ht="13.5">
      <c r="A6" s="7">
        <v>4</v>
      </c>
      <c r="B6" s="8" t="str">
        <f>"2341202008310902158"</f>
        <v>2341202008310902158</v>
      </c>
      <c r="C6" s="8" t="s">
        <v>8</v>
      </c>
      <c r="D6" s="8" t="str">
        <f>"符梅燕"</f>
        <v>符梅燕</v>
      </c>
      <c r="E6" s="8" t="str">
        <f>"女"</f>
        <v>女</v>
      </c>
      <c r="F6" s="8" t="str">
        <f>"1995-10-05"</f>
        <v>1995-10-05</v>
      </c>
      <c r="G6" s="9"/>
    </row>
    <row r="7" spans="1:7" ht="13.5">
      <c r="A7" s="7">
        <v>5</v>
      </c>
      <c r="B7" s="8" t="str">
        <f>"23412020083109065611"</f>
        <v>23412020083109065611</v>
      </c>
      <c r="C7" s="8" t="s">
        <v>8</v>
      </c>
      <c r="D7" s="8" t="str">
        <f>"张冬霞"</f>
        <v>张冬霞</v>
      </c>
      <c r="E7" s="8" t="str">
        <f>"女"</f>
        <v>女</v>
      </c>
      <c r="F7" s="8" t="str">
        <f>"1984-10-11"</f>
        <v>1984-10-11</v>
      </c>
      <c r="G7" s="9"/>
    </row>
    <row r="8" spans="1:7" ht="13.5">
      <c r="A8" s="7">
        <v>6</v>
      </c>
      <c r="B8" s="8" t="str">
        <f>"23412020083109120118"</f>
        <v>23412020083109120118</v>
      </c>
      <c r="C8" s="8" t="s">
        <v>8</v>
      </c>
      <c r="D8" s="8" t="str">
        <f>"吴光甫"</f>
        <v>吴光甫</v>
      </c>
      <c r="E8" s="8" t="str">
        <f>"男"</f>
        <v>男</v>
      </c>
      <c r="F8" s="8" t="str">
        <f>"1995-10-16"</f>
        <v>1995-10-16</v>
      </c>
      <c r="G8" s="9"/>
    </row>
    <row r="9" spans="1:7" ht="13.5">
      <c r="A9" s="7">
        <v>7</v>
      </c>
      <c r="B9" s="8" t="str">
        <f>"23412020083109162320"</f>
        <v>23412020083109162320</v>
      </c>
      <c r="C9" s="8" t="s">
        <v>8</v>
      </c>
      <c r="D9" s="8" t="str">
        <f>"许如妹"</f>
        <v>许如妹</v>
      </c>
      <c r="E9" s="8" t="str">
        <f aca="true" t="shared" si="0" ref="E9:E23">"女"</f>
        <v>女</v>
      </c>
      <c r="F9" s="8" t="str">
        <f>"1995-06-28"</f>
        <v>1995-06-28</v>
      </c>
      <c r="G9" s="9"/>
    </row>
    <row r="10" spans="1:7" ht="13.5">
      <c r="A10" s="7">
        <v>8</v>
      </c>
      <c r="B10" s="8" t="str">
        <f>"23412020083109172722"</f>
        <v>23412020083109172722</v>
      </c>
      <c r="C10" s="8" t="s">
        <v>8</v>
      </c>
      <c r="D10" s="8" t="str">
        <f>"陈江雨"</f>
        <v>陈江雨</v>
      </c>
      <c r="E10" s="8" t="str">
        <f t="shared" si="0"/>
        <v>女</v>
      </c>
      <c r="F10" s="8" t="str">
        <f>"1995-02-10"</f>
        <v>1995-02-10</v>
      </c>
      <c r="G10" s="9"/>
    </row>
    <row r="11" spans="1:7" ht="13.5">
      <c r="A11" s="7">
        <v>9</v>
      </c>
      <c r="B11" s="8" t="str">
        <f>"23412020083109174423"</f>
        <v>23412020083109174423</v>
      </c>
      <c r="C11" s="8" t="s">
        <v>8</v>
      </c>
      <c r="D11" s="8" t="str">
        <f>"陈金穗"</f>
        <v>陈金穗</v>
      </c>
      <c r="E11" s="8" t="str">
        <f t="shared" si="0"/>
        <v>女</v>
      </c>
      <c r="F11" s="8" t="str">
        <f>"1997-08-12"</f>
        <v>1997-08-12</v>
      </c>
      <c r="G11" s="9"/>
    </row>
    <row r="12" spans="1:7" ht="13.5">
      <c r="A12" s="7">
        <v>10</v>
      </c>
      <c r="B12" s="8" t="str">
        <f>"23412020083109242432"</f>
        <v>23412020083109242432</v>
      </c>
      <c r="C12" s="8" t="s">
        <v>8</v>
      </c>
      <c r="D12" s="8" t="str">
        <f>"李秋蓉"</f>
        <v>李秋蓉</v>
      </c>
      <c r="E12" s="8" t="str">
        <f t="shared" si="0"/>
        <v>女</v>
      </c>
      <c r="F12" s="8" t="str">
        <f>"1998-09-19"</f>
        <v>1998-09-19</v>
      </c>
      <c r="G12" s="9"/>
    </row>
    <row r="13" spans="1:7" ht="13.5">
      <c r="A13" s="7">
        <v>11</v>
      </c>
      <c r="B13" s="8" t="str">
        <f>"23412020083109263135"</f>
        <v>23412020083109263135</v>
      </c>
      <c r="C13" s="8" t="s">
        <v>8</v>
      </c>
      <c r="D13" s="8" t="str">
        <f>"周亭亭"</f>
        <v>周亭亭</v>
      </c>
      <c r="E13" s="8" t="str">
        <f t="shared" si="0"/>
        <v>女</v>
      </c>
      <c r="F13" s="8" t="str">
        <f>"1992-03-26"</f>
        <v>1992-03-26</v>
      </c>
      <c r="G13" s="9"/>
    </row>
    <row r="14" spans="1:7" ht="13.5">
      <c r="A14" s="7">
        <v>12</v>
      </c>
      <c r="B14" s="8" t="str">
        <f>"23412020083109330343"</f>
        <v>23412020083109330343</v>
      </c>
      <c r="C14" s="8" t="s">
        <v>8</v>
      </c>
      <c r="D14" s="8" t="str">
        <f>"赵越越"</f>
        <v>赵越越</v>
      </c>
      <c r="E14" s="8" t="str">
        <f t="shared" si="0"/>
        <v>女</v>
      </c>
      <c r="F14" s="8" t="str">
        <f>"1988-11-08"</f>
        <v>1988-11-08</v>
      </c>
      <c r="G14" s="9"/>
    </row>
    <row r="15" spans="1:7" ht="13.5">
      <c r="A15" s="7">
        <v>13</v>
      </c>
      <c r="B15" s="8" t="str">
        <f>"23412020083109382647"</f>
        <v>23412020083109382647</v>
      </c>
      <c r="C15" s="8" t="s">
        <v>8</v>
      </c>
      <c r="D15" s="8" t="str">
        <f>"蒲贝贝"</f>
        <v>蒲贝贝</v>
      </c>
      <c r="E15" s="8" t="str">
        <f t="shared" si="0"/>
        <v>女</v>
      </c>
      <c r="F15" s="8" t="str">
        <f>"1996-09-16"</f>
        <v>1996-09-16</v>
      </c>
      <c r="G15" s="9"/>
    </row>
    <row r="16" spans="1:7" ht="13.5">
      <c r="A16" s="7">
        <v>14</v>
      </c>
      <c r="B16" s="8" t="str">
        <f>"23412020083109423049"</f>
        <v>23412020083109423049</v>
      </c>
      <c r="C16" s="8" t="s">
        <v>8</v>
      </c>
      <c r="D16" s="8" t="str">
        <f>"陈诗雅"</f>
        <v>陈诗雅</v>
      </c>
      <c r="E16" s="8" t="str">
        <f t="shared" si="0"/>
        <v>女</v>
      </c>
      <c r="F16" s="8" t="str">
        <f>"1994-05-05"</f>
        <v>1994-05-05</v>
      </c>
      <c r="G16" s="9"/>
    </row>
    <row r="17" spans="1:7" ht="13.5">
      <c r="A17" s="7">
        <v>15</v>
      </c>
      <c r="B17" s="8" t="str">
        <f>"23412020083109430850"</f>
        <v>23412020083109430850</v>
      </c>
      <c r="C17" s="8" t="s">
        <v>8</v>
      </c>
      <c r="D17" s="8" t="str">
        <f>"蔡玉玲"</f>
        <v>蔡玉玲</v>
      </c>
      <c r="E17" s="8" t="str">
        <f t="shared" si="0"/>
        <v>女</v>
      </c>
      <c r="F17" s="8" t="str">
        <f>"1987-10-04"</f>
        <v>1987-10-04</v>
      </c>
      <c r="G17" s="9"/>
    </row>
    <row r="18" spans="1:7" ht="13.5">
      <c r="A18" s="7">
        <v>16</v>
      </c>
      <c r="B18" s="8" t="str">
        <f>"23412020083109434151"</f>
        <v>23412020083109434151</v>
      </c>
      <c r="C18" s="8" t="s">
        <v>8</v>
      </c>
      <c r="D18" s="8" t="str">
        <f>"陈婷"</f>
        <v>陈婷</v>
      </c>
      <c r="E18" s="8" t="str">
        <f t="shared" si="0"/>
        <v>女</v>
      </c>
      <c r="F18" s="8" t="str">
        <f>"1993-05-17"</f>
        <v>1993-05-17</v>
      </c>
      <c r="G18" s="9"/>
    </row>
    <row r="19" spans="1:7" ht="13.5">
      <c r="A19" s="7">
        <v>17</v>
      </c>
      <c r="B19" s="8" t="str">
        <f>"23412020083109461053"</f>
        <v>23412020083109461053</v>
      </c>
      <c r="C19" s="8" t="s">
        <v>8</v>
      </c>
      <c r="D19" s="8" t="str">
        <f>"羊福女"</f>
        <v>羊福女</v>
      </c>
      <c r="E19" s="8" t="str">
        <f t="shared" si="0"/>
        <v>女</v>
      </c>
      <c r="F19" s="8" t="str">
        <f>"1995-02-10"</f>
        <v>1995-02-10</v>
      </c>
      <c r="G19" s="9"/>
    </row>
    <row r="20" spans="1:7" ht="13.5">
      <c r="A20" s="7">
        <v>18</v>
      </c>
      <c r="B20" s="8" t="str">
        <f>"23412020083109463854"</f>
        <v>23412020083109463854</v>
      </c>
      <c r="C20" s="8" t="s">
        <v>8</v>
      </c>
      <c r="D20" s="8" t="str">
        <f>"叶蕙欣"</f>
        <v>叶蕙欣</v>
      </c>
      <c r="E20" s="8" t="str">
        <f t="shared" si="0"/>
        <v>女</v>
      </c>
      <c r="F20" s="8" t="str">
        <f>"1995-11-21"</f>
        <v>1995-11-21</v>
      </c>
      <c r="G20" s="9"/>
    </row>
    <row r="21" spans="1:7" ht="13.5">
      <c r="A21" s="7">
        <v>19</v>
      </c>
      <c r="B21" s="8" t="str">
        <f>"23412020083109464355"</f>
        <v>23412020083109464355</v>
      </c>
      <c r="C21" s="8" t="s">
        <v>8</v>
      </c>
      <c r="D21" s="8" t="str">
        <f>"吴思瑜"</f>
        <v>吴思瑜</v>
      </c>
      <c r="E21" s="8" t="str">
        <f t="shared" si="0"/>
        <v>女</v>
      </c>
      <c r="F21" s="8" t="str">
        <f>"1994-10-06"</f>
        <v>1994-10-06</v>
      </c>
      <c r="G21" s="9"/>
    </row>
    <row r="22" spans="1:7" ht="13.5">
      <c r="A22" s="7">
        <v>20</v>
      </c>
      <c r="B22" s="8" t="str">
        <f>"23412020083109471457"</f>
        <v>23412020083109471457</v>
      </c>
      <c r="C22" s="8" t="s">
        <v>8</v>
      </c>
      <c r="D22" s="8" t="str">
        <f>"曾芸"</f>
        <v>曾芸</v>
      </c>
      <c r="E22" s="8" t="str">
        <f t="shared" si="0"/>
        <v>女</v>
      </c>
      <c r="F22" s="8" t="str">
        <f>"1998-08-30"</f>
        <v>1998-08-30</v>
      </c>
      <c r="G22" s="9"/>
    </row>
    <row r="23" spans="1:7" ht="13.5">
      <c r="A23" s="7">
        <v>21</v>
      </c>
      <c r="B23" s="8" t="str">
        <f>"23412020083109480059"</f>
        <v>23412020083109480059</v>
      </c>
      <c r="C23" s="8" t="s">
        <v>8</v>
      </c>
      <c r="D23" s="8" t="str">
        <f>"陈玲"</f>
        <v>陈玲</v>
      </c>
      <c r="E23" s="8" t="str">
        <f t="shared" si="0"/>
        <v>女</v>
      </c>
      <c r="F23" s="8" t="str">
        <f>"1996-01-21"</f>
        <v>1996-01-21</v>
      </c>
      <c r="G23" s="9"/>
    </row>
    <row r="24" spans="1:7" ht="13.5">
      <c r="A24" s="7">
        <v>22</v>
      </c>
      <c r="B24" s="8" t="str">
        <f>"23412020083109511063"</f>
        <v>23412020083109511063</v>
      </c>
      <c r="C24" s="8" t="s">
        <v>8</v>
      </c>
      <c r="D24" s="8" t="str">
        <f>"王鸿"</f>
        <v>王鸿</v>
      </c>
      <c r="E24" s="8" t="str">
        <f>"男"</f>
        <v>男</v>
      </c>
      <c r="F24" s="8" t="str">
        <f>"1997-09-06"</f>
        <v>1997-09-06</v>
      </c>
      <c r="G24" s="9"/>
    </row>
    <row r="25" spans="1:7" ht="13.5">
      <c r="A25" s="7">
        <v>23</v>
      </c>
      <c r="B25" s="8" t="str">
        <f>"23412020083109511864"</f>
        <v>23412020083109511864</v>
      </c>
      <c r="C25" s="8" t="s">
        <v>8</v>
      </c>
      <c r="D25" s="8" t="str">
        <f>"吴菊妍"</f>
        <v>吴菊妍</v>
      </c>
      <c r="E25" s="8" t="str">
        <f aca="true" t="shared" si="1" ref="E25:E51">"女"</f>
        <v>女</v>
      </c>
      <c r="F25" s="8" t="str">
        <f>"1997-06-19"</f>
        <v>1997-06-19</v>
      </c>
      <c r="G25" s="9"/>
    </row>
    <row r="26" spans="1:7" ht="13.5">
      <c r="A26" s="7">
        <v>24</v>
      </c>
      <c r="B26" s="8" t="str">
        <f>"23412020083109540167"</f>
        <v>23412020083109540167</v>
      </c>
      <c r="C26" s="8" t="s">
        <v>8</v>
      </c>
      <c r="D26" s="8" t="str">
        <f>"齐凌冰"</f>
        <v>齐凌冰</v>
      </c>
      <c r="E26" s="8" t="str">
        <f t="shared" si="1"/>
        <v>女</v>
      </c>
      <c r="F26" s="8" t="str">
        <f>"1997-12-22"</f>
        <v>1997-12-22</v>
      </c>
      <c r="G26" s="9"/>
    </row>
    <row r="27" spans="1:7" ht="13.5">
      <c r="A27" s="7">
        <v>25</v>
      </c>
      <c r="B27" s="8" t="str">
        <f>"23412020083109563071"</f>
        <v>23412020083109563071</v>
      </c>
      <c r="C27" s="8" t="s">
        <v>8</v>
      </c>
      <c r="D27" s="8" t="str">
        <f>"王茹"</f>
        <v>王茹</v>
      </c>
      <c r="E27" s="8" t="str">
        <f t="shared" si="1"/>
        <v>女</v>
      </c>
      <c r="F27" s="8" t="str">
        <f>"1997-04-05"</f>
        <v>1997-04-05</v>
      </c>
      <c r="G27" s="9"/>
    </row>
    <row r="28" spans="1:7" ht="13.5">
      <c r="A28" s="7">
        <v>26</v>
      </c>
      <c r="B28" s="8" t="str">
        <f>"23412020083109581875"</f>
        <v>23412020083109581875</v>
      </c>
      <c r="C28" s="8" t="s">
        <v>8</v>
      </c>
      <c r="D28" s="8" t="str">
        <f>"符慕蓉蓉"</f>
        <v>符慕蓉蓉</v>
      </c>
      <c r="E28" s="8" t="str">
        <f t="shared" si="1"/>
        <v>女</v>
      </c>
      <c r="F28" s="8" t="str">
        <f>"1995-04-03"</f>
        <v>1995-04-03</v>
      </c>
      <c r="G28" s="9"/>
    </row>
    <row r="29" spans="1:7" ht="13.5">
      <c r="A29" s="7">
        <v>27</v>
      </c>
      <c r="B29" s="8" t="str">
        <f>"23412020083109590877"</f>
        <v>23412020083109590877</v>
      </c>
      <c r="C29" s="8" t="s">
        <v>8</v>
      </c>
      <c r="D29" s="8" t="str">
        <f>"董朝孟"</f>
        <v>董朝孟</v>
      </c>
      <c r="E29" s="8" t="str">
        <f t="shared" si="1"/>
        <v>女</v>
      </c>
      <c r="F29" s="8" t="str">
        <f>"1992-01-28"</f>
        <v>1992-01-28</v>
      </c>
      <c r="G29" s="9"/>
    </row>
    <row r="30" spans="1:7" ht="13.5">
      <c r="A30" s="7">
        <v>28</v>
      </c>
      <c r="B30" s="8" t="str">
        <f>"23412020083109592478"</f>
        <v>23412020083109592478</v>
      </c>
      <c r="C30" s="8" t="s">
        <v>8</v>
      </c>
      <c r="D30" s="8" t="str">
        <f>"蔡丽菁"</f>
        <v>蔡丽菁</v>
      </c>
      <c r="E30" s="8" t="str">
        <f t="shared" si="1"/>
        <v>女</v>
      </c>
      <c r="F30" s="8" t="str">
        <f>"1996-04-07"</f>
        <v>1996-04-07</v>
      </c>
      <c r="G30" s="9"/>
    </row>
    <row r="31" spans="1:7" ht="13.5">
      <c r="A31" s="7">
        <v>29</v>
      </c>
      <c r="B31" s="8" t="str">
        <f>"23412020083109592680"</f>
        <v>23412020083109592680</v>
      </c>
      <c r="C31" s="8" t="s">
        <v>8</v>
      </c>
      <c r="D31" s="8" t="str">
        <f>"符舒华"</f>
        <v>符舒华</v>
      </c>
      <c r="E31" s="8" t="str">
        <f t="shared" si="1"/>
        <v>女</v>
      </c>
      <c r="F31" s="8" t="str">
        <f>"1996-01-12"</f>
        <v>1996-01-12</v>
      </c>
      <c r="G31" s="9"/>
    </row>
    <row r="32" spans="1:7" ht="13.5">
      <c r="A32" s="7">
        <v>30</v>
      </c>
      <c r="B32" s="8" t="str">
        <f>"23412020083110025583"</f>
        <v>23412020083110025583</v>
      </c>
      <c r="C32" s="8" t="s">
        <v>8</v>
      </c>
      <c r="D32" s="8" t="str">
        <f>"陈映烨"</f>
        <v>陈映烨</v>
      </c>
      <c r="E32" s="8" t="str">
        <f t="shared" si="1"/>
        <v>女</v>
      </c>
      <c r="F32" s="8" t="str">
        <f>"1994-11-21"</f>
        <v>1994-11-21</v>
      </c>
      <c r="G32" s="9"/>
    </row>
    <row r="33" spans="1:7" ht="13.5">
      <c r="A33" s="7">
        <v>31</v>
      </c>
      <c r="B33" s="8" t="str">
        <f>"23412020083110034786"</f>
        <v>23412020083110034786</v>
      </c>
      <c r="C33" s="8" t="s">
        <v>8</v>
      </c>
      <c r="D33" s="8" t="str">
        <f>"陈嘉慧"</f>
        <v>陈嘉慧</v>
      </c>
      <c r="E33" s="8" t="str">
        <f t="shared" si="1"/>
        <v>女</v>
      </c>
      <c r="F33" s="8" t="str">
        <f>"1994-05-11"</f>
        <v>1994-05-11</v>
      </c>
      <c r="G33" s="9"/>
    </row>
    <row r="34" spans="1:7" ht="13.5">
      <c r="A34" s="7">
        <v>32</v>
      </c>
      <c r="B34" s="8" t="str">
        <f>"23412020083110043688"</f>
        <v>23412020083110043688</v>
      </c>
      <c r="C34" s="8" t="s">
        <v>8</v>
      </c>
      <c r="D34" s="8" t="str">
        <f>"吴红玉"</f>
        <v>吴红玉</v>
      </c>
      <c r="E34" s="8" t="str">
        <f t="shared" si="1"/>
        <v>女</v>
      </c>
      <c r="F34" s="8" t="str">
        <f>"1996-03-21"</f>
        <v>1996-03-21</v>
      </c>
      <c r="G34" s="9"/>
    </row>
    <row r="35" spans="1:7" ht="13.5">
      <c r="A35" s="7">
        <v>33</v>
      </c>
      <c r="B35" s="8" t="str">
        <f>"23412020083110090193"</f>
        <v>23412020083110090193</v>
      </c>
      <c r="C35" s="8" t="s">
        <v>8</v>
      </c>
      <c r="D35" s="8" t="str">
        <f>"邱裕婷"</f>
        <v>邱裕婷</v>
      </c>
      <c r="E35" s="8" t="str">
        <f t="shared" si="1"/>
        <v>女</v>
      </c>
      <c r="F35" s="8" t="str">
        <f>"1995-07-29"</f>
        <v>1995-07-29</v>
      </c>
      <c r="G35" s="9"/>
    </row>
    <row r="36" spans="1:7" ht="13.5">
      <c r="A36" s="7">
        <v>34</v>
      </c>
      <c r="B36" s="8" t="str">
        <f>"234120200831101717103"</f>
        <v>234120200831101717103</v>
      </c>
      <c r="C36" s="8" t="s">
        <v>8</v>
      </c>
      <c r="D36" s="8" t="str">
        <f>"黎美青"</f>
        <v>黎美青</v>
      </c>
      <c r="E36" s="8" t="str">
        <f t="shared" si="1"/>
        <v>女</v>
      </c>
      <c r="F36" s="8" t="str">
        <f>"1996-02-26"</f>
        <v>1996-02-26</v>
      </c>
      <c r="G36" s="9"/>
    </row>
    <row r="37" spans="1:7" ht="13.5">
      <c r="A37" s="7">
        <v>35</v>
      </c>
      <c r="B37" s="8" t="str">
        <f>"234120200831102022107"</f>
        <v>234120200831102022107</v>
      </c>
      <c r="C37" s="8" t="s">
        <v>8</v>
      </c>
      <c r="D37" s="8" t="str">
        <f>"黎丽敏"</f>
        <v>黎丽敏</v>
      </c>
      <c r="E37" s="8" t="str">
        <f t="shared" si="1"/>
        <v>女</v>
      </c>
      <c r="F37" s="8" t="str">
        <f>"1997-01-27"</f>
        <v>1997-01-27</v>
      </c>
      <c r="G37" s="9"/>
    </row>
    <row r="38" spans="1:7" ht="13.5">
      <c r="A38" s="7">
        <v>36</v>
      </c>
      <c r="B38" s="8" t="str">
        <f>"234120200831102129110"</f>
        <v>234120200831102129110</v>
      </c>
      <c r="C38" s="8" t="s">
        <v>8</v>
      </c>
      <c r="D38" s="8" t="str">
        <f>"林珊珊"</f>
        <v>林珊珊</v>
      </c>
      <c r="E38" s="8" t="str">
        <f t="shared" si="1"/>
        <v>女</v>
      </c>
      <c r="F38" s="8" t="str">
        <f>"1991-05-01"</f>
        <v>1991-05-01</v>
      </c>
      <c r="G38" s="9"/>
    </row>
    <row r="39" spans="1:7" ht="13.5">
      <c r="A39" s="7">
        <v>37</v>
      </c>
      <c r="B39" s="8" t="str">
        <f>"234120200831102323117"</f>
        <v>234120200831102323117</v>
      </c>
      <c r="C39" s="8" t="s">
        <v>8</v>
      </c>
      <c r="D39" s="8" t="str">
        <f>"余鼎鼎"</f>
        <v>余鼎鼎</v>
      </c>
      <c r="E39" s="8" t="str">
        <f t="shared" si="1"/>
        <v>女</v>
      </c>
      <c r="F39" s="8" t="str">
        <f>"1994-11-07"</f>
        <v>1994-11-07</v>
      </c>
      <c r="G39" s="9"/>
    </row>
    <row r="40" spans="1:7" ht="13.5">
      <c r="A40" s="7">
        <v>38</v>
      </c>
      <c r="B40" s="8" t="str">
        <f>"234120200831102530121"</f>
        <v>234120200831102530121</v>
      </c>
      <c r="C40" s="8" t="s">
        <v>8</v>
      </c>
      <c r="D40" s="8" t="str">
        <f>"陈辉苗"</f>
        <v>陈辉苗</v>
      </c>
      <c r="E40" s="8" t="str">
        <f t="shared" si="1"/>
        <v>女</v>
      </c>
      <c r="F40" s="8" t="str">
        <f>"1996-05-06"</f>
        <v>1996-05-06</v>
      </c>
      <c r="G40" s="9"/>
    </row>
    <row r="41" spans="1:7" ht="13.5">
      <c r="A41" s="7">
        <v>39</v>
      </c>
      <c r="B41" s="8" t="str">
        <f>"234120200831102854123"</f>
        <v>234120200831102854123</v>
      </c>
      <c r="C41" s="8" t="s">
        <v>8</v>
      </c>
      <c r="D41" s="8" t="str">
        <f>"吉佳佳 "</f>
        <v>吉佳佳 </v>
      </c>
      <c r="E41" s="8" t="str">
        <f t="shared" si="1"/>
        <v>女</v>
      </c>
      <c r="F41" s="8" t="str">
        <f>"1997-08-04"</f>
        <v>1997-08-04</v>
      </c>
      <c r="G41" s="9"/>
    </row>
    <row r="42" spans="1:7" ht="13.5">
      <c r="A42" s="7">
        <v>40</v>
      </c>
      <c r="B42" s="8" t="str">
        <f>"234120200831102957124"</f>
        <v>234120200831102957124</v>
      </c>
      <c r="C42" s="8" t="s">
        <v>8</v>
      </c>
      <c r="D42" s="8" t="str">
        <f>"郭玲珠"</f>
        <v>郭玲珠</v>
      </c>
      <c r="E42" s="8" t="str">
        <f t="shared" si="1"/>
        <v>女</v>
      </c>
      <c r="F42" s="8" t="str">
        <f>"1992-01-22"</f>
        <v>1992-01-22</v>
      </c>
      <c r="G42" s="9"/>
    </row>
    <row r="43" spans="1:7" ht="13.5">
      <c r="A43" s="7">
        <v>41</v>
      </c>
      <c r="B43" s="8" t="str">
        <f>"234120200831103336126"</f>
        <v>234120200831103336126</v>
      </c>
      <c r="C43" s="8" t="s">
        <v>8</v>
      </c>
      <c r="D43" s="8" t="str">
        <f>"陈韵"</f>
        <v>陈韵</v>
      </c>
      <c r="E43" s="8" t="str">
        <f t="shared" si="1"/>
        <v>女</v>
      </c>
      <c r="F43" s="8" t="str">
        <f>"1994-02-11"</f>
        <v>1994-02-11</v>
      </c>
      <c r="G43" s="9"/>
    </row>
    <row r="44" spans="1:7" ht="13.5">
      <c r="A44" s="7">
        <v>42</v>
      </c>
      <c r="B44" s="8" t="str">
        <f>"234120200831103340128"</f>
        <v>234120200831103340128</v>
      </c>
      <c r="C44" s="8" t="s">
        <v>8</v>
      </c>
      <c r="D44" s="8" t="str">
        <f>"张彩琴"</f>
        <v>张彩琴</v>
      </c>
      <c r="E44" s="8" t="str">
        <f t="shared" si="1"/>
        <v>女</v>
      </c>
      <c r="F44" s="8" t="str">
        <f>"1993-10-12"</f>
        <v>1993-10-12</v>
      </c>
      <c r="G44" s="9"/>
    </row>
    <row r="45" spans="1:7" ht="13.5">
      <c r="A45" s="7">
        <v>43</v>
      </c>
      <c r="B45" s="8" t="str">
        <f>"234120200831103406129"</f>
        <v>234120200831103406129</v>
      </c>
      <c r="C45" s="8" t="s">
        <v>8</v>
      </c>
      <c r="D45" s="8" t="str">
        <f>"李馨宁"</f>
        <v>李馨宁</v>
      </c>
      <c r="E45" s="8" t="str">
        <f t="shared" si="1"/>
        <v>女</v>
      </c>
      <c r="F45" s="8" t="str">
        <f>"1995-12-24"</f>
        <v>1995-12-24</v>
      </c>
      <c r="G45" s="9"/>
    </row>
    <row r="46" spans="1:7" ht="13.5">
      <c r="A46" s="7">
        <v>44</v>
      </c>
      <c r="B46" s="8" t="str">
        <f>"234120200831104105136"</f>
        <v>234120200831104105136</v>
      </c>
      <c r="C46" s="8" t="s">
        <v>8</v>
      </c>
      <c r="D46" s="8" t="str">
        <f>"刘得芬"</f>
        <v>刘得芬</v>
      </c>
      <c r="E46" s="8" t="str">
        <f t="shared" si="1"/>
        <v>女</v>
      </c>
      <c r="F46" s="8" t="str">
        <f>"1996-08-10"</f>
        <v>1996-08-10</v>
      </c>
      <c r="G46" s="9"/>
    </row>
    <row r="47" spans="1:7" ht="13.5">
      <c r="A47" s="7">
        <v>45</v>
      </c>
      <c r="B47" s="8" t="str">
        <f>"234120200831104220138"</f>
        <v>234120200831104220138</v>
      </c>
      <c r="C47" s="8" t="s">
        <v>8</v>
      </c>
      <c r="D47" s="8" t="str">
        <f>"李涵冰"</f>
        <v>李涵冰</v>
      </c>
      <c r="E47" s="8" t="str">
        <f t="shared" si="1"/>
        <v>女</v>
      </c>
      <c r="F47" s="8" t="str">
        <f>"1997-01-15"</f>
        <v>1997-01-15</v>
      </c>
      <c r="G47" s="9"/>
    </row>
    <row r="48" spans="1:7" ht="13.5">
      <c r="A48" s="7">
        <v>46</v>
      </c>
      <c r="B48" s="8" t="str">
        <f>"234120200831104427141"</f>
        <v>234120200831104427141</v>
      </c>
      <c r="C48" s="8" t="s">
        <v>8</v>
      </c>
      <c r="D48" s="8" t="str">
        <f>"薛慧珊"</f>
        <v>薛慧珊</v>
      </c>
      <c r="E48" s="8" t="str">
        <f t="shared" si="1"/>
        <v>女</v>
      </c>
      <c r="F48" s="8" t="str">
        <f>"1994-06-18"</f>
        <v>1994-06-18</v>
      </c>
      <c r="G48" s="9"/>
    </row>
    <row r="49" spans="1:7" ht="13.5">
      <c r="A49" s="7">
        <v>47</v>
      </c>
      <c r="B49" s="8" t="str">
        <f>"234120200831104623143"</f>
        <v>234120200831104623143</v>
      </c>
      <c r="C49" s="8" t="s">
        <v>8</v>
      </c>
      <c r="D49" s="8" t="str">
        <f>"黄琼慧"</f>
        <v>黄琼慧</v>
      </c>
      <c r="E49" s="8" t="str">
        <f t="shared" si="1"/>
        <v>女</v>
      </c>
      <c r="F49" s="8" t="str">
        <f>"1995-01-28"</f>
        <v>1995-01-28</v>
      </c>
      <c r="G49" s="9"/>
    </row>
    <row r="50" spans="1:7" ht="13.5">
      <c r="A50" s="7">
        <v>48</v>
      </c>
      <c r="B50" s="8" t="str">
        <f>"234120200831105033147"</f>
        <v>234120200831105033147</v>
      </c>
      <c r="C50" s="8" t="s">
        <v>8</v>
      </c>
      <c r="D50" s="8" t="str">
        <f>"陈如"</f>
        <v>陈如</v>
      </c>
      <c r="E50" s="8" t="str">
        <f t="shared" si="1"/>
        <v>女</v>
      </c>
      <c r="F50" s="8" t="str">
        <f>"1994-11-16"</f>
        <v>1994-11-16</v>
      </c>
      <c r="G50" s="9"/>
    </row>
    <row r="51" spans="1:7" ht="13.5">
      <c r="A51" s="7">
        <v>49</v>
      </c>
      <c r="B51" s="8" t="str">
        <f>"234120200831105723152"</f>
        <v>234120200831105723152</v>
      </c>
      <c r="C51" s="8" t="s">
        <v>8</v>
      </c>
      <c r="D51" s="8" t="str">
        <f>"王艳梅"</f>
        <v>王艳梅</v>
      </c>
      <c r="E51" s="8" t="str">
        <f t="shared" si="1"/>
        <v>女</v>
      </c>
      <c r="F51" s="8" t="str">
        <f>"1993-11-02"</f>
        <v>1993-11-02</v>
      </c>
      <c r="G51" s="9"/>
    </row>
    <row r="52" spans="1:7" ht="13.5">
      <c r="A52" s="7">
        <v>50</v>
      </c>
      <c r="B52" s="8" t="str">
        <f>"234120200831110310161"</f>
        <v>234120200831110310161</v>
      </c>
      <c r="C52" s="8" t="s">
        <v>8</v>
      </c>
      <c r="D52" s="8" t="str">
        <f>"刘堃"</f>
        <v>刘堃</v>
      </c>
      <c r="E52" s="8" t="str">
        <f>"男"</f>
        <v>男</v>
      </c>
      <c r="F52" s="8" t="str">
        <f>"1992-09-29"</f>
        <v>1992-09-29</v>
      </c>
      <c r="G52" s="9"/>
    </row>
    <row r="53" spans="1:7" ht="13.5">
      <c r="A53" s="7">
        <v>51</v>
      </c>
      <c r="B53" s="8" t="str">
        <f>"234120200831110612167"</f>
        <v>234120200831110612167</v>
      </c>
      <c r="C53" s="8" t="s">
        <v>8</v>
      </c>
      <c r="D53" s="8" t="str">
        <f>"符钦女"</f>
        <v>符钦女</v>
      </c>
      <c r="E53" s="8" t="str">
        <f aca="true" t="shared" si="2" ref="E53:E65">"女"</f>
        <v>女</v>
      </c>
      <c r="F53" s="8" t="str">
        <f>"1994-07-15"</f>
        <v>1994-07-15</v>
      </c>
      <c r="G53" s="9"/>
    </row>
    <row r="54" spans="1:7" ht="13.5">
      <c r="A54" s="7">
        <v>52</v>
      </c>
      <c r="B54" s="8" t="str">
        <f>"234120200831111819180"</f>
        <v>234120200831111819180</v>
      </c>
      <c r="C54" s="8" t="s">
        <v>8</v>
      </c>
      <c r="D54" s="8" t="str">
        <f>"文梅燕"</f>
        <v>文梅燕</v>
      </c>
      <c r="E54" s="8" t="str">
        <f t="shared" si="2"/>
        <v>女</v>
      </c>
      <c r="F54" s="8" t="str">
        <f>"1991-01-10"</f>
        <v>1991-01-10</v>
      </c>
      <c r="G54" s="9"/>
    </row>
    <row r="55" spans="1:7" ht="13.5">
      <c r="A55" s="7">
        <v>53</v>
      </c>
      <c r="B55" s="8" t="str">
        <f>"234120200831111842181"</f>
        <v>234120200831111842181</v>
      </c>
      <c r="C55" s="8" t="s">
        <v>8</v>
      </c>
      <c r="D55" s="8" t="str">
        <f>"黄欢"</f>
        <v>黄欢</v>
      </c>
      <c r="E55" s="8" t="str">
        <f t="shared" si="2"/>
        <v>女</v>
      </c>
      <c r="F55" s="8" t="str">
        <f>"1996-11-28"</f>
        <v>1996-11-28</v>
      </c>
      <c r="G55" s="9"/>
    </row>
    <row r="56" spans="1:7" ht="13.5">
      <c r="A56" s="7">
        <v>54</v>
      </c>
      <c r="B56" s="8" t="str">
        <f>"234120200831112022184"</f>
        <v>234120200831112022184</v>
      </c>
      <c r="C56" s="8" t="s">
        <v>8</v>
      </c>
      <c r="D56" s="8" t="str">
        <f>"姜海英"</f>
        <v>姜海英</v>
      </c>
      <c r="E56" s="8" t="str">
        <f t="shared" si="2"/>
        <v>女</v>
      </c>
      <c r="F56" s="8" t="str">
        <f>"1990-12-22"</f>
        <v>1990-12-22</v>
      </c>
      <c r="G56" s="9"/>
    </row>
    <row r="57" spans="1:7" ht="13.5">
      <c r="A57" s="7">
        <v>55</v>
      </c>
      <c r="B57" s="8" t="str">
        <f>"234120200831112958193"</f>
        <v>234120200831112958193</v>
      </c>
      <c r="C57" s="8" t="s">
        <v>8</v>
      </c>
      <c r="D57" s="8" t="str">
        <f>" 杨雪"</f>
        <v> 杨雪</v>
      </c>
      <c r="E57" s="8" t="str">
        <f t="shared" si="2"/>
        <v>女</v>
      </c>
      <c r="F57" s="8" t="str">
        <f>"1994-03-28"</f>
        <v>1994-03-28</v>
      </c>
      <c r="G57" s="9"/>
    </row>
    <row r="58" spans="1:7" ht="13.5">
      <c r="A58" s="7">
        <v>56</v>
      </c>
      <c r="B58" s="8" t="str">
        <f>"234120200831113138195"</f>
        <v>234120200831113138195</v>
      </c>
      <c r="C58" s="8" t="s">
        <v>8</v>
      </c>
      <c r="D58" s="8" t="str">
        <f>"庄淑红"</f>
        <v>庄淑红</v>
      </c>
      <c r="E58" s="8" t="str">
        <f t="shared" si="2"/>
        <v>女</v>
      </c>
      <c r="F58" s="8" t="str">
        <f>"1994-10-21"</f>
        <v>1994-10-21</v>
      </c>
      <c r="G58" s="9"/>
    </row>
    <row r="59" spans="1:7" ht="13.5">
      <c r="A59" s="7">
        <v>57</v>
      </c>
      <c r="B59" s="8" t="str">
        <f>"234120200831113235196"</f>
        <v>234120200831113235196</v>
      </c>
      <c r="C59" s="8" t="s">
        <v>8</v>
      </c>
      <c r="D59" s="8" t="str">
        <f>"龙肖丽"</f>
        <v>龙肖丽</v>
      </c>
      <c r="E59" s="8" t="str">
        <f t="shared" si="2"/>
        <v>女</v>
      </c>
      <c r="F59" s="8" t="str">
        <f>"1996-06-07"</f>
        <v>1996-06-07</v>
      </c>
      <c r="G59" s="9"/>
    </row>
    <row r="60" spans="1:7" ht="13.5">
      <c r="A60" s="7">
        <v>58</v>
      </c>
      <c r="B60" s="8" t="str">
        <f>"234120200831113635199"</f>
        <v>234120200831113635199</v>
      </c>
      <c r="C60" s="8" t="s">
        <v>8</v>
      </c>
      <c r="D60" s="8" t="str">
        <f>"周金莉"</f>
        <v>周金莉</v>
      </c>
      <c r="E60" s="8" t="str">
        <f t="shared" si="2"/>
        <v>女</v>
      </c>
      <c r="F60" s="8" t="str">
        <f>"1994-09-03"</f>
        <v>1994-09-03</v>
      </c>
      <c r="G60" s="9"/>
    </row>
    <row r="61" spans="1:7" ht="13.5">
      <c r="A61" s="7">
        <v>59</v>
      </c>
      <c r="B61" s="8" t="str">
        <f>"234120200831113708200"</f>
        <v>234120200831113708200</v>
      </c>
      <c r="C61" s="8" t="s">
        <v>8</v>
      </c>
      <c r="D61" s="8" t="str">
        <f>"陈莹"</f>
        <v>陈莹</v>
      </c>
      <c r="E61" s="8" t="str">
        <f t="shared" si="2"/>
        <v>女</v>
      </c>
      <c r="F61" s="8" t="str">
        <f>"1998-03-24"</f>
        <v>1998-03-24</v>
      </c>
      <c r="G61" s="9"/>
    </row>
    <row r="62" spans="1:7" ht="13.5">
      <c r="A62" s="7">
        <v>60</v>
      </c>
      <c r="B62" s="8" t="str">
        <f>"234120200831113935201"</f>
        <v>234120200831113935201</v>
      </c>
      <c r="C62" s="8" t="s">
        <v>8</v>
      </c>
      <c r="D62" s="8" t="str">
        <f>"朱燕芳"</f>
        <v>朱燕芳</v>
      </c>
      <c r="E62" s="8" t="str">
        <f t="shared" si="2"/>
        <v>女</v>
      </c>
      <c r="F62" s="8" t="str">
        <f>"1991-09-03"</f>
        <v>1991-09-03</v>
      </c>
      <c r="G62" s="9"/>
    </row>
    <row r="63" spans="1:7" ht="13.5">
      <c r="A63" s="7">
        <v>61</v>
      </c>
      <c r="B63" s="8" t="str">
        <f>"234120200831114118203"</f>
        <v>234120200831114118203</v>
      </c>
      <c r="C63" s="8" t="s">
        <v>8</v>
      </c>
      <c r="D63" s="8" t="str">
        <f>"韦洁"</f>
        <v>韦洁</v>
      </c>
      <c r="E63" s="8" t="str">
        <f t="shared" si="2"/>
        <v>女</v>
      </c>
      <c r="F63" s="8" t="str">
        <f>"1994-10-23"</f>
        <v>1994-10-23</v>
      </c>
      <c r="G63" s="9"/>
    </row>
    <row r="64" spans="1:7" ht="13.5">
      <c r="A64" s="7">
        <v>62</v>
      </c>
      <c r="B64" s="8" t="str">
        <f>"234120200831115619215"</f>
        <v>234120200831115619215</v>
      </c>
      <c r="C64" s="8" t="s">
        <v>8</v>
      </c>
      <c r="D64" s="8" t="str">
        <f>"周娟"</f>
        <v>周娟</v>
      </c>
      <c r="E64" s="8" t="str">
        <f t="shared" si="2"/>
        <v>女</v>
      </c>
      <c r="F64" s="8" t="str">
        <f>"1995-07-15"</f>
        <v>1995-07-15</v>
      </c>
      <c r="G64" s="9"/>
    </row>
    <row r="65" spans="1:7" ht="13.5">
      <c r="A65" s="7">
        <v>63</v>
      </c>
      <c r="B65" s="8" t="str">
        <f>"234120200831120433224"</f>
        <v>234120200831120433224</v>
      </c>
      <c r="C65" s="8" t="s">
        <v>8</v>
      </c>
      <c r="D65" s="8" t="str">
        <f>"施玉婷"</f>
        <v>施玉婷</v>
      </c>
      <c r="E65" s="8" t="str">
        <f t="shared" si="2"/>
        <v>女</v>
      </c>
      <c r="F65" s="8" t="str">
        <f>"1988-01-13"</f>
        <v>1988-01-13</v>
      </c>
      <c r="G65" s="9"/>
    </row>
    <row r="66" spans="1:7" ht="13.5">
      <c r="A66" s="7">
        <v>64</v>
      </c>
      <c r="B66" s="8" t="str">
        <f>"234120200831120509225"</f>
        <v>234120200831120509225</v>
      </c>
      <c r="C66" s="8" t="s">
        <v>8</v>
      </c>
      <c r="D66" s="8" t="str">
        <f>"刘泽华"</f>
        <v>刘泽华</v>
      </c>
      <c r="E66" s="8" t="str">
        <f>"男"</f>
        <v>男</v>
      </c>
      <c r="F66" s="8" t="str">
        <f>"1996-01-28"</f>
        <v>1996-01-28</v>
      </c>
      <c r="G66" s="9"/>
    </row>
    <row r="67" spans="1:7" ht="13.5">
      <c r="A67" s="7">
        <v>65</v>
      </c>
      <c r="B67" s="8" t="str">
        <f>"234120200831120619228"</f>
        <v>234120200831120619228</v>
      </c>
      <c r="C67" s="8" t="s">
        <v>8</v>
      </c>
      <c r="D67" s="8" t="str">
        <f>"黎浩宇"</f>
        <v>黎浩宇</v>
      </c>
      <c r="E67" s="8" t="str">
        <f aca="true" t="shared" si="3" ref="E67:E74">"女"</f>
        <v>女</v>
      </c>
      <c r="F67" s="8" t="str">
        <f>"1997-08-06"</f>
        <v>1997-08-06</v>
      </c>
      <c r="G67" s="9"/>
    </row>
    <row r="68" spans="1:7" ht="13.5">
      <c r="A68" s="7">
        <v>66</v>
      </c>
      <c r="B68" s="8" t="str">
        <f>"234120200831120951229"</f>
        <v>234120200831120951229</v>
      </c>
      <c r="C68" s="8" t="s">
        <v>8</v>
      </c>
      <c r="D68" s="8" t="str">
        <f>"蒋梅"</f>
        <v>蒋梅</v>
      </c>
      <c r="E68" s="8" t="str">
        <f t="shared" si="3"/>
        <v>女</v>
      </c>
      <c r="F68" s="8" t="str">
        <f>"1995-01-06"</f>
        <v>1995-01-06</v>
      </c>
      <c r="G68" s="9"/>
    </row>
    <row r="69" spans="1:7" ht="13.5">
      <c r="A69" s="7">
        <v>67</v>
      </c>
      <c r="B69" s="8" t="str">
        <f>"234120200831121017230"</f>
        <v>234120200831121017230</v>
      </c>
      <c r="C69" s="8" t="s">
        <v>8</v>
      </c>
      <c r="D69" s="8" t="str">
        <f>"符丹蕊"</f>
        <v>符丹蕊</v>
      </c>
      <c r="E69" s="8" t="str">
        <f t="shared" si="3"/>
        <v>女</v>
      </c>
      <c r="F69" s="8" t="str">
        <f>"1996-03-22"</f>
        <v>1996-03-22</v>
      </c>
      <c r="G69" s="9"/>
    </row>
    <row r="70" spans="1:7" ht="13.5">
      <c r="A70" s="7">
        <v>68</v>
      </c>
      <c r="B70" s="8" t="str">
        <f>"234120200831121043231"</f>
        <v>234120200831121043231</v>
      </c>
      <c r="C70" s="8" t="s">
        <v>8</v>
      </c>
      <c r="D70" s="8" t="str">
        <f>"童丽秋"</f>
        <v>童丽秋</v>
      </c>
      <c r="E70" s="8" t="str">
        <f t="shared" si="3"/>
        <v>女</v>
      </c>
      <c r="F70" s="8" t="str">
        <f>"1997-02-11"</f>
        <v>1997-02-11</v>
      </c>
      <c r="G70" s="9"/>
    </row>
    <row r="71" spans="1:7" ht="13.5">
      <c r="A71" s="7">
        <v>69</v>
      </c>
      <c r="B71" s="8" t="str">
        <f>"234120200831121606237"</f>
        <v>234120200831121606237</v>
      </c>
      <c r="C71" s="8" t="s">
        <v>8</v>
      </c>
      <c r="D71" s="8" t="str">
        <f>"冯本吹"</f>
        <v>冯本吹</v>
      </c>
      <c r="E71" s="8" t="str">
        <f t="shared" si="3"/>
        <v>女</v>
      </c>
      <c r="F71" s="8" t="str">
        <f>"1993-11-25"</f>
        <v>1993-11-25</v>
      </c>
      <c r="G71" s="9"/>
    </row>
    <row r="72" spans="1:7" ht="13.5">
      <c r="A72" s="7">
        <v>70</v>
      </c>
      <c r="B72" s="8" t="str">
        <f>"234120200831122041242"</f>
        <v>234120200831122041242</v>
      </c>
      <c r="C72" s="8" t="s">
        <v>8</v>
      </c>
      <c r="D72" s="8" t="str">
        <f>"林高茹"</f>
        <v>林高茹</v>
      </c>
      <c r="E72" s="8" t="str">
        <f t="shared" si="3"/>
        <v>女</v>
      </c>
      <c r="F72" s="8" t="str">
        <f>"1994-11-11"</f>
        <v>1994-11-11</v>
      </c>
      <c r="G72" s="9"/>
    </row>
    <row r="73" spans="1:7" ht="13.5">
      <c r="A73" s="7">
        <v>71</v>
      </c>
      <c r="B73" s="8" t="str">
        <f>"234120200831122109243"</f>
        <v>234120200831122109243</v>
      </c>
      <c r="C73" s="8" t="s">
        <v>8</v>
      </c>
      <c r="D73" s="8" t="str">
        <f>"余卓林"</f>
        <v>余卓林</v>
      </c>
      <c r="E73" s="8" t="str">
        <f t="shared" si="3"/>
        <v>女</v>
      </c>
      <c r="F73" s="8" t="str">
        <f>"1996-11-14"</f>
        <v>1996-11-14</v>
      </c>
      <c r="G73" s="9"/>
    </row>
    <row r="74" spans="1:7" ht="13.5">
      <c r="A74" s="7">
        <v>72</v>
      </c>
      <c r="B74" s="8" t="str">
        <f>"234120200831122200244"</f>
        <v>234120200831122200244</v>
      </c>
      <c r="C74" s="8" t="s">
        <v>8</v>
      </c>
      <c r="D74" s="8" t="str">
        <f>"符式慧"</f>
        <v>符式慧</v>
      </c>
      <c r="E74" s="8" t="str">
        <f t="shared" si="3"/>
        <v>女</v>
      </c>
      <c r="F74" s="8" t="str">
        <f>"1995-08-13"</f>
        <v>1995-08-13</v>
      </c>
      <c r="G74" s="9"/>
    </row>
    <row r="75" spans="1:7" ht="13.5">
      <c r="A75" s="7">
        <v>73</v>
      </c>
      <c r="B75" s="8" t="str">
        <f>"234120200831122710246"</f>
        <v>234120200831122710246</v>
      </c>
      <c r="C75" s="8" t="s">
        <v>8</v>
      </c>
      <c r="D75" s="8" t="str">
        <f>"汪文轩"</f>
        <v>汪文轩</v>
      </c>
      <c r="E75" s="8" t="str">
        <f>"男"</f>
        <v>男</v>
      </c>
      <c r="F75" s="8" t="str">
        <f>"1993-10-29"</f>
        <v>1993-10-29</v>
      </c>
      <c r="G75" s="9"/>
    </row>
    <row r="76" spans="1:7" ht="13.5">
      <c r="A76" s="7">
        <v>74</v>
      </c>
      <c r="B76" s="8" t="str">
        <f>"234120200831123612251"</f>
        <v>234120200831123612251</v>
      </c>
      <c r="C76" s="8" t="s">
        <v>8</v>
      </c>
      <c r="D76" s="8" t="str">
        <f>"王幸子"</f>
        <v>王幸子</v>
      </c>
      <c r="E76" s="8" t="str">
        <f>"女"</f>
        <v>女</v>
      </c>
      <c r="F76" s="8" t="str">
        <f>"1995-06-13"</f>
        <v>1995-06-13</v>
      </c>
      <c r="G76" s="9"/>
    </row>
    <row r="77" spans="1:7" ht="13.5">
      <c r="A77" s="7">
        <v>75</v>
      </c>
      <c r="B77" s="8" t="str">
        <f>"234120200831124154255"</f>
        <v>234120200831124154255</v>
      </c>
      <c r="C77" s="8" t="s">
        <v>8</v>
      </c>
      <c r="D77" s="8" t="str">
        <f>"林秋枫"</f>
        <v>林秋枫</v>
      </c>
      <c r="E77" s="8" t="str">
        <f>"女"</f>
        <v>女</v>
      </c>
      <c r="F77" s="8" t="str">
        <f>"1997-10-13"</f>
        <v>1997-10-13</v>
      </c>
      <c r="G77" s="9"/>
    </row>
    <row r="78" spans="1:7" ht="13.5">
      <c r="A78" s="7">
        <v>76</v>
      </c>
      <c r="B78" s="8" t="str">
        <f>"234120200831124500259"</f>
        <v>234120200831124500259</v>
      </c>
      <c r="C78" s="8" t="s">
        <v>8</v>
      </c>
      <c r="D78" s="8" t="str">
        <f>"李金妹"</f>
        <v>李金妹</v>
      </c>
      <c r="E78" s="8" t="str">
        <f>"女"</f>
        <v>女</v>
      </c>
      <c r="F78" s="8" t="str">
        <f>"1996-06-18"</f>
        <v>1996-06-18</v>
      </c>
      <c r="G78" s="9"/>
    </row>
    <row r="79" spans="1:7" ht="13.5">
      <c r="A79" s="7">
        <v>77</v>
      </c>
      <c r="B79" s="8" t="str">
        <f>"234120200831124822262"</f>
        <v>234120200831124822262</v>
      </c>
      <c r="C79" s="8" t="s">
        <v>8</v>
      </c>
      <c r="D79" s="8" t="str">
        <f>"赵曼"</f>
        <v>赵曼</v>
      </c>
      <c r="E79" s="8" t="str">
        <f>"女"</f>
        <v>女</v>
      </c>
      <c r="F79" s="8" t="str">
        <f>"1993-09-18"</f>
        <v>1993-09-18</v>
      </c>
      <c r="G79" s="9"/>
    </row>
    <row r="80" spans="1:7" ht="13.5">
      <c r="A80" s="7">
        <v>78</v>
      </c>
      <c r="B80" s="8" t="str">
        <f>"234120200831124921265"</f>
        <v>234120200831124921265</v>
      </c>
      <c r="C80" s="8" t="s">
        <v>8</v>
      </c>
      <c r="D80" s="8" t="str">
        <f>"陈雅婷"</f>
        <v>陈雅婷</v>
      </c>
      <c r="E80" s="8" t="str">
        <f>"女"</f>
        <v>女</v>
      </c>
      <c r="F80" s="8" t="str">
        <f>"1996-10-30"</f>
        <v>1996-10-30</v>
      </c>
      <c r="G80" s="9"/>
    </row>
    <row r="81" spans="1:7" ht="13.5">
      <c r="A81" s="7">
        <v>79</v>
      </c>
      <c r="B81" s="8" t="str">
        <f>"234120200831124942266"</f>
        <v>234120200831124942266</v>
      </c>
      <c r="C81" s="8" t="s">
        <v>8</v>
      </c>
      <c r="D81" s="8" t="str">
        <f>"张夏鹏"</f>
        <v>张夏鹏</v>
      </c>
      <c r="E81" s="8" t="str">
        <f>"男"</f>
        <v>男</v>
      </c>
      <c r="F81" s="8" t="str">
        <f>"1997-08-02"</f>
        <v>1997-08-02</v>
      </c>
      <c r="G81" s="9"/>
    </row>
    <row r="82" spans="1:7" ht="13.5">
      <c r="A82" s="7">
        <v>80</v>
      </c>
      <c r="B82" s="8" t="str">
        <f>"234120200831125114267"</f>
        <v>234120200831125114267</v>
      </c>
      <c r="C82" s="8" t="s">
        <v>8</v>
      </c>
      <c r="D82" s="8" t="str">
        <f>"高明月"</f>
        <v>高明月</v>
      </c>
      <c r="E82" s="8" t="str">
        <f>"女"</f>
        <v>女</v>
      </c>
      <c r="F82" s="8" t="str">
        <f>"1988-06-12"</f>
        <v>1988-06-12</v>
      </c>
      <c r="G82" s="9"/>
    </row>
    <row r="83" spans="1:7" ht="13.5">
      <c r="A83" s="7">
        <v>81</v>
      </c>
      <c r="B83" s="8" t="str">
        <f>"234120200831130734279"</f>
        <v>234120200831130734279</v>
      </c>
      <c r="C83" s="8" t="s">
        <v>8</v>
      </c>
      <c r="D83" s="8" t="str">
        <f>"李祺"</f>
        <v>李祺</v>
      </c>
      <c r="E83" s="8" t="str">
        <f>"女"</f>
        <v>女</v>
      </c>
      <c r="F83" s="8" t="str">
        <f>"1994-10-03"</f>
        <v>1994-10-03</v>
      </c>
      <c r="G83" s="9"/>
    </row>
    <row r="84" spans="1:7" ht="13.5">
      <c r="A84" s="7">
        <v>82</v>
      </c>
      <c r="B84" s="8" t="str">
        <f>"234120200831132707286"</f>
        <v>234120200831132707286</v>
      </c>
      <c r="C84" s="8" t="s">
        <v>8</v>
      </c>
      <c r="D84" s="8" t="str">
        <f>"符蕊"</f>
        <v>符蕊</v>
      </c>
      <c r="E84" s="8" t="str">
        <f>"女"</f>
        <v>女</v>
      </c>
      <c r="F84" s="8" t="str">
        <f>"1997-06-28"</f>
        <v>1997-06-28</v>
      </c>
      <c r="G84" s="9"/>
    </row>
    <row r="85" spans="1:7" ht="13.5">
      <c r="A85" s="7">
        <v>83</v>
      </c>
      <c r="B85" s="8" t="str">
        <f>"234120200831133329288"</f>
        <v>234120200831133329288</v>
      </c>
      <c r="C85" s="8" t="s">
        <v>8</v>
      </c>
      <c r="D85" s="8" t="str">
        <f>"蔡丽莉"</f>
        <v>蔡丽莉</v>
      </c>
      <c r="E85" s="8" t="str">
        <f>"女"</f>
        <v>女</v>
      </c>
      <c r="F85" s="8" t="str">
        <f>"1993-10-16"</f>
        <v>1993-10-16</v>
      </c>
      <c r="G85" s="9"/>
    </row>
    <row r="86" spans="1:7" ht="13.5">
      <c r="A86" s="7">
        <v>84</v>
      </c>
      <c r="B86" s="8" t="str">
        <f>"234120200831133949291"</f>
        <v>234120200831133949291</v>
      </c>
      <c r="C86" s="8" t="s">
        <v>8</v>
      </c>
      <c r="D86" s="8" t="str">
        <f>"冯宣华"</f>
        <v>冯宣华</v>
      </c>
      <c r="E86" s="8" t="str">
        <f>"男"</f>
        <v>男</v>
      </c>
      <c r="F86" s="8" t="str">
        <f>"1995-06-04"</f>
        <v>1995-06-04</v>
      </c>
      <c r="G86" s="9"/>
    </row>
    <row r="87" spans="1:7" ht="13.5">
      <c r="A87" s="7">
        <v>85</v>
      </c>
      <c r="B87" s="8" t="str">
        <f>"234120200831134857296"</f>
        <v>234120200831134857296</v>
      </c>
      <c r="C87" s="8" t="s">
        <v>8</v>
      </c>
      <c r="D87" s="8" t="str">
        <f>"张秀丽"</f>
        <v>张秀丽</v>
      </c>
      <c r="E87" s="8" t="str">
        <f aca="true" t="shared" si="4" ref="E87:E120">"女"</f>
        <v>女</v>
      </c>
      <c r="F87" s="8" t="str">
        <f>"1988-06-17"</f>
        <v>1988-06-17</v>
      </c>
      <c r="G87" s="9"/>
    </row>
    <row r="88" spans="1:7" ht="13.5">
      <c r="A88" s="7">
        <v>86</v>
      </c>
      <c r="B88" s="8" t="str">
        <f>"234120200831140026302"</f>
        <v>234120200831140026302</v>
      </c>
      <c r="C88" s="8" t="s">
        <v>8</v>
      </c>
      <c r="D88" s="8" t="str">
        <f>"陈双燕"</f>
        <v>陈双燕</v>
      </c>
      <c r="E88" s="8" t="str">
        <f t="shared" si="4"/>
        <v>女</v>
      </c>
      <c r="F88" s="8" t="str">
        <f>"1995-09-28"</f>
        <v>1995-09-28</v>
      </c>
      <c r="G88" s="9"/>
    </row>
    <row r="89" spans="1:7" ht="13.5">
      <c r="A89" s="7">
        <v>87</v>
      </c>
      <c r="B89" s="8" t="str">
        <f>"234120200831140112303"</f>
        <v>234120200831140112303</v>
      </c>
      <c r="C89" s="8" t="s">
        <v>8</v>
      </c>
      <c r="D89" s="8" t="str">
        <f>"宋雁"</f>
        <v>宋雁</v>
      </c>
      <c r="E89" s="8" t="str">
        <f t="shared" si="4"/>
        <v>女</v>
      </c>
      <c r="F89" s="8" t="str">
        <f>"1989-02-13"</f>
        <v>1989-02-13</v>
      </c>
      <c r="G89" s="9"/>
    </row>
    <row r="90" spans="1:7" ht="13.5">
      <c r="A90" s="7">
        <v>88</v>
      </c>
      <c r="B90" s="8" t="str">
        <f>"234120200831140120304"</f>
        <v>234120200831140120304</v>
      </c>
      <c r="C90" s="8" t="s">
        <v>8</v>
      </c>
      <c r="D90" s="8" t="str">
        <f>"刘冬瑶"</f>
        <v>刘冬瑶</v>
      </c>
      <c r="E90" s="8" t="str">
        <f t="shared" si="4"/>
        <v>女</v>
      </c>
      <c r="F90" s="8" t="str">
        <f>"1997-11-19"</f>
        <v>1997-11-19</v>
      </c>
      <c r="G90" s="9"/>
    </row>
    <row r="91" spans="1:7" ht="13.5">
      <c r="A91" s="7">
        <v>89</v>
      </c>
      <c r="B91" s="8" t="str">
        <f>"234120200831140613307"</f>
        <v>234120200831140613307</v>
      </c>
      <c r="C91" s="8" t="s">
        <v>8</v>
      </c>
      <c r="D91" s="8" t="str">
        <f>"羊晓颖"</f>
        <v>羊晓颖</v>
      </c>
      <c r="E91" s="8" t="str">
        <f t="shared" si="4"/>
        <v>女</v>
      </c>
      <c r="F91" s="8" t="str">
        <f>"1997-05-01"</f>
        <v>1997-05-01</v>
      </c>
      <c r="G91" s="9"/>
    </row>
    <row r="92" spans="1:7" ht="13.5">
      <c r="A92" s="7">
        <v>90</v>
      </c>
      <c r="B92" s="8" t="str">
        <f>"234120200831140702308"</f>
        <v>234120200831140702308</v>
      </c>
      <c r="C92" s="8" t="s">
        <v>8</v>
      </c>
      <c r="D92" s="8" t="str">
        <f>"吉秀"</f>
        <v>吉秀</v>
      </c>
      <c r="E92" s="8" t="str">
        <f t="shared" si="4"/>
        <v>女</v>
      </c>
      <c r="F92" s="8" t="str">
        <f>"1991-02-16"</f>
        <v>1991-02-16</v>
      </c>
      <c r="G92" s="9"/>
    </row>
    <row r="93" spans="1:7" ht="13.5">
      <c r="A93" s="7">
        <v>91</v>
      </c>
      <c r="B93" s="8" t="str">
        <f>"234120200831142130314"</f>
        <v>234120200831142130314</v>
      </c>
      <c r="C93" s="8" t="s">
        <v>8</v>
      </c>
      <c r="D93" s="8" t="str">
        <f>"羊海珠"</f>
        <v>羊海珠</v>
      </c>
      <c r="E93" s="8" t="str">
        <f t="shared" si="4"/>
        <v>女</v>
      </c>
      <c r="F93" s="8" t="str">
        <f>"1993-01-07"</f>
        <v>1993-01-07</v>
      </c>
      <c r="G93" s="9"/>
    </row>
    <row r="94" spans="1:7" ht="13.5">
      <c r="A94" s="7">
        <v>92</v>
      </c>
      <c r="B94" s="8" t="str">
        <f>"234120200831142147315"</f>
        <v>234120200831142147315</v>
      </c>
      <c r="C94" s="8" t="s">
        <v>8</v>
      </c>
      <c r="D94" s="8" t="str">
        <f>"刘乃嘉"</f>
        <v>刘乃嘉</v>
      </c>
      <c r="E94" s="8" t="str">
        <f t="shared" si="4"/>
        <v>女</v>
      </c>
      <c r="F94" s="8" t="str">
        <f>"1990-08-29"</f>
        <v>1990-08-29</v>
      </c>
      <c r="G94" s="9"/>
    </row>
    <row r="95" spans="1:7" ht="13.5">
      <c r="A95" s="7">
        <v>93</v>
      </c>
      <c r="B95" s="8" t="str">
        <f>"234120200831142629316"</f>
        <v>234120200831142629316</v>
      </c>
      <c r="C95" s="8" t="s">
        <v>8</v>
      </c>
      <c r="D95" s="8" t="str">
        <f>"马春蕊"</f>
        <v>马春蕊</v>
      </c>
      <c r="E95" s="8" t="str">
        <f t="shared" si="4"/>
        <v>女</v>
      </c>
      <c r="F95" s="8" t="str">
        <f>"1995-01-25"</f>
        <v>1995-01-25</v>
      </c>
      <c r="G95" s="9"/>
    </row>
    <row r="96" spans="1:7" ht="13.5">
      <c r="A96" s="7">
        <v>94</v>
      </c>
      <c r="B96" s="8" t="str">
        <f>"234120200831143525319"</f>
        <v>234120200831143525319</v>
      </c>
      <c r="C96" s="8" t="s">
        <v>8</v>
      </c>
      <c r="D96" s="8" t="str">
        <f>"颜嘉璐"</f>
        <v>颜嘉璐</v>
      </c>
      <c r="E96" s="8" t="str">
        <f t="shared" si="4"/>
        <v>女</v>
      </c>
      <c r="F96" s="8" t="str">
        <f>"1998-06-06"</f>
        <v>1998-06-06</v>
      </c>
      <c r="G96" s="9"/>
    </row>
    <row r="97" spans="1:7" ht="13.5">
      <c r="A97" s="7">
        <v>95</v>
      </c>
      <c r="B97" s="8" t="str">
        <f>"234120200831143538320"</f>
        <v>234120200831143538320</v>
      </c>
      <c r="C97" s="8" t="s">
        <v>8</v>
      </c>
      <c r="D97" s="8" t="str">
        <f>"许小环"</f>
        <v>许小环</v>
      </c>
      <c r="E97" s="8" t="str">
        <f t="shared" si="4"/>
        <v>女</v>
      </c>
      <c r="F97" s="8" t="str">
        <f>"1992-02-02"</f>
        <v>1992-02-02</v>
      </c>
      <c r="G97" s="9"/>
    </row>
    <row r="98" spans="1:7" ht="13.5">
      <c r="A98" s="7">
        <v>96</v>
      </c>
      <c r="B98" s="8" t="str">
        <f>"234120200831150009332"</f>
        <v>234120200831150009332</v>
      </c>
      <c r="C98" s="8" t="s">
        <v>8</v>
      </c>
      <c r="D98" s="8" t="str">
        <f>"卢炳欣"</f>
        <v>卢炳欣</v>
      </c>
      <c r="E98" s="8" t="str">
        <f t="shared" si="4"/>
        <v>女</v>
      </c>
      <c r="F98" s="8" t="str">
        <f>"1992-09-20"</f>
        <v>1992-09-20</v>
      </c>
      <c r="G98" s="9"/>
    </row>
    <row r="99" spans="1:7" ht="13.5">
      <c r="A99" s="7">
        <v>97</v>
      </c>
      <c r="B99" s="8" t="str">
        <f>"234120200831150540337"</f>
        <v>234120200831150540337</v>
      </c>
      <c r="C99" s="8" t="s">
        <v>8</v>
      </c>
      <c r="D99" s="8" t="str">
        <f>"李妹妹"</f>
        <v>李妹妹</v>
      </c>
      <c r="E99" s="8" t="str">
        <f t="shared" si="4"/>
        <v>女</v>
      </c>
      <c r="F99" s="8" t="str">
        <f>"1992-10-28"</f>
        <v>1992-10-28</v>
      </c>
      <c r="G99" s="9"/>
    </row>
    <row r="100" spans="1:7" ht="13.5">
      <c r="A100" s="7">
        <v>98</v>
      </c>
      <c r="B100" s="8" t="str">
        <f>"234120200831151152342"</f>
        <v>234120200831151152342</v>
      </c>
      <c r="C100" s="8" t="s">
        <v>8</v>
      </c>
      <c r="D100" s="8" t="str">
        <f>"符文晶"</f>
        <v>符文晶</v>
      </c>
      <c r="E100" s="8" t="str">
        <f t="shared" si="4"/>
        <v>女</v>
      </c>
      <c r="F100" s="8" t="str">
        <f>"1993-09-09"</f>
        <v>1993-09-09</v>
      </c>
      <c r="G100" s="9"/>
    </row>
    <row r="101" spans="1:7" ht="13.5">
      <c r="A101" s="7">
        <v>99</v>
      </c>
      <c r="B101" s="8" t="str">
        <f>"234120200831151532345"</f>
        <v>234120200831151532345</v>
      </c>
      <c r="C101" s="8" t="s">
        <v>8</v>
      </c>
      <c r="D101" s="8" t="str">
        <f>"李念容"</f>
        <v>李念容</v>
      </c>
      <c r="E101" s="8" t="str">
        <f t="shared" si="4"/>
        <v>女</v>
      </c>
      <c r="F101" s="8" t="str">
        <f>"1997-01-04"</f>
        <v>1997-01-04</v>
      </c>
      <c r="G101" s="9"/>
    </row>
    <row r="102" spans="1:7" ht="13.5">
      <c r="A102" s="7">
        <v>100</v>
      </c>
      <c r="B102" s="8" t="str">
        <f>"234120200831151601346"</f>
        <v>234120200831151601346</v>
      </c>
      <c r="C102" s="8" t="s">
        <v>8</v>
      </c>
      <c r="D102" s="8" t="str">
        <f>"宁云"</f>
        <v>宁云</v>
      </c>
      <c r="E102" s="8" t="str">
        <f t="shared" si="4"/>
        <v>女</v>
      </c>
      <c r="F102" s="8" t="str">
        <f>"1991-04-26"</f>
        <v>1991-04-26</v>
      </c>
      <c r="G102" s="9"/>
    </row>
    <row r="103" spans="1:7" ht="13.5">
      <c r="A103" s="7">
        <v>101</v>
      </c>
      <c r="B103" s="8" t="str">
        <f>"234120200831152854353"</f>
        <v>234120200831152854353</v>
      </c>
      <c r="C103" s="8" t="s">
        <v>8</v>
      </c>
      <c r="D103" s="8" t="str">
        <f>"赵秀香"</f>
        <v>赵秀香</v>
      </c>
      <c r="E103" s="8" t="str">
        <f t="shared" si="4"/>
        <v>女</v>
      </c>
      <c r="F103" s="8" t="str">
        <f>"1993-02-15"</f>
        <v>1993-02-15</v>
      </c>
      <c r="G103" s="9"/>
    </row>
    <row r="104" spans="1:7" ht="13.5">
      <c r="A104" s="7">
        <v>102</v>
      </c>
      <c r="B104" s="8" t="str">
        <f>"234120200831153226357"</f>
        <v>234120200831153226357</v>
      </c>
      <c r="C104" s="8" t="s">
        <v>8</v>
      </c>
      <c r="D104" s="8" t="str">
        <f>"何欣欣"</f>
        <v>何欣欣</v>
      </c>
      <c r="E104" s="8" t="str">
        <f t="shared" si="4"/>
        <v>女</v>
      </c>
      <c r="F104" s="8" t="str">
        <f>"1992-11-13"</f>
        <v>1992-11-13</v>
      </c>
      <c r="G104" s="9"/>
    </row>
    <row r="105" spans="1:7" ht="13.5">
      <c r="A105" s="7">
        <v>103</v>
      </c>
      <c r="B105" s="8" t="str">
        <f>"234120200831153256358"</f>
        <v>234120200831153256358</v>
      </c>
      <c r="C105" s="8" t="s">
        <v>8</v>
      </c>
      <c r="D105" s="8" t="str">
        <f>"杜昭瑜"</f>
        <v>杜昭瑜</v>
      </c>
      <c r="E105" s="8" t="str">
        <f t="shared" si="4"/>
        <v>女</v>
      </c>
      <c r="F105" s="8" t="str">
        <f>"1998-12-30"</f>
        <v>1998-12-30</v>
      </c>
      <c r="G105" s="9"/>
    </row>
    <row r="106" spans="1:7" ht="13.5">
      <c r="A106" s="7">
        <v>104</v>
      </c>
      <c r="B106" s="8" t="str">
        <f>"234120200831154203361"</f>
        <v>234120200831154203361</v>
      </c>
      <c r="C106" s="8" t="s">
        <v>8</v>
      </c>
      <c r="D106" s="8" t="str">
        <f>"王玲兰"</f>
        <v>王玲兰</v>
      </c>
      <c r="E106" s="8" t="str">
        <f t="shared" si="4"/>
        <v>女</v>
      </c>
      <c r="F106" s="8" t="str">
        <f>"1993-12-30"</f>
        <v>1993-12-30</v>
      </c>
      <c r="G106" s="9"/>
    </row>
    <row r="107" spans="1:7" ht="13.5">
      <c r="A107" s="7">
        <v>105</v>
      </c>
      <c r="B107" s="8" t="str">
        <f>"234120200831154316362"</f>
        <v>234120200831154316362</v>
      </c>
      <c r="C107" s="8" t="s">
        <v>8</v>
      </c>
      <c r="D107" s="8" t="str">
        <f>"陈琳"</f>
        <v>陈琳</v>
      </c>
      <c r="E107" s="8" t="str">
        <f t="shared" si="4"/>
        <v>女</v>
      </c>
      <c r="F107" s="8" t="str">
        <f>"1994-03-22"</f>
        <v>1994-03-22</v>
      </c>
      <c r="G107" s="9"/>
    </row>
    <row r="108" spans="1:7" ht="13.5">
      <c r="A108" s="7">
        <v>106</v>
      </c>
      <c r="B108" s="8" t="str">
        <f>"234120200831154339363"</f>
        <v>234120200831154339363</v>
      </c>
      <c r="C108" s="8" t="s">
        <v>8</v>
      </c>
      <c r="D108" s="8" t="str">
        <f>"李善吉"</f>
        <v>李善吉</v>
      </c>
      <c r="E108" s="8" t="str">
        <f t="shared" si="4"/>
        <v>女</v>
      </c>
      <c r="F108" s="8" t="str">
        <f>"1991-05-28"</f>
        <v>1991-05-28</v>
      </c>
      <c r="G108" s="9"/>
    </row>
    <row r="109" spans="1:7" ht="13.5">
      <c r="A109" s="7">
        <v>107</v>
      </c>
      <c r="B109" s="8" t="str">
        <f>"234120200831155115366"</f>
        <v>234120200831155115366</v>
      </c>
      <c r="C109" s="8" t="s">
        <v>8</v>
      </c>
      <c r="D109" s="8" t="str">
        <f>"冯小雯"</f>
        <v>冯小雯</v>
      </c>
      <c r="E109" s="8" t="str">
        <f t="shared" si="4"/>
        <v>女</v>
      </c>
      <c r="F109" s="8" t="str">
        <f>"1997-12-12"</f>
        <v>1997-12-12</v>
      </c>
      <c r="G109" s="9"/>
    </row>
    <row r="110" spans="1:7" ht="13.5">
      <c r="A110" s="7">
        <v>108</v>
      </c>
      <c r="B110" s="8" t="str">
        <f>"234120200831155341368"</f>
        <v>234120200831155341368</v>
      </c>
      <c r="C110" s="8" t="s">
        <v>8</v>
      </c>
      <c r="D110" s="8" t="str">
        <f>"吴淑娇"</f>
        <v>吴淑娇</v>
      </c>
      <c r="E110" s="8" t="str">
        <f t="shared" si="4"/>
        <v>女</v>
      </c>
      <c r="F110" s="8" t="str">
        <f>"1986-12-14"</f>
        <v>1986-12-14</v>
      </c>
      <c r="G110" s="9"/>
    </row>
    <row r="111" spans="1:7" ht="13.5">
      <c r="A111" s="7">
        <v>109</v>
      </c>
      <c r="B111" s="8" t="str">
        <f>"234120200831155421369"</f>
        <v>234120200831155421369</v>
      </c>
      <c r="C111" s="8" t="s">
        <v>8</v>
      </c>
      <c r="D111" s="8" t="str">
        <f>"王娇婉"</f>
        <v>王娇婉</v>
      </c>
      <c r="E111" s="8" t="str">
        <f t="shared" si="4"/>
        <v>女</v>
      </c>
      <c r="F111" s="8" t="str">
        <f>"1992-02-28"</f>
        <v>1992-02-28</v>
      </c>
      <c r="G111" s="9"/>
    </row>
    <row r="112" spans="1:7" ht="13.5">
      <c r="A112" s="7">
        <v>110</v>
      </c>
      <c r="B112" s="8" t="str">
        <f>"234120200831155831371"</f>
        <v>234120200831155831371</v>
      </c>
      <c r="C112" s="8" t="s">
        <v>8</v>
      </c>
      <c r="D112" s="8" t="str">
        <f>"华芸"</f>
        <v>华芸</v>
      </c>
      <c r="E112" s="8" t="str">
        <f t="shared" si="4"/>
        <v>女</v>
      </c>
      <c r="F112" s="8" t="str">
        <f>"1993-01-04"</f>
        <v>1993-01-04</v>
      </c>
      <c r="G112" s="9"/>
    </row>
    <row r="113" spans="1:7" ht="13.5">
      <c r="A113" s="7">
        <v>111</v>
      </c>
      <c r="B113" s="8" t="str">
        <f>"234120200831161932380"</f>
        <v>234120200831161932380</v>
      </c>
      <c r="C113" s="8" t="s">
        <v>8</v>
      </c>
      <c r="D113" s="8" t="str">
        <f>"郑健"</f>
        <v>郑健</v>
      </c>
      <c r="E113" s="8" t="str">
        <f t="shared" si="4"/>
        <v>女</v>
      </c>
      <c r="F113" s="8" t="str">
        <f>"1988-05-20"</f>
        <v>1988-05-20</v>
      </c>
      <c r="G113" s="9"/>
    </row>
    <row r="114" spans="1:7" ht="13.5">
      <c r="A114" s="7">
        <v>112</v>
      </c>
      <c r="B114" s="8" t="str">
        <f>"234120200831162240381"</f>
        <v>234120200831162240381</v>
      </c>
      <c r="C114" s="8" t="s">
        <v>8</v>
      </c>
      <c r="D114" s="8" t="str">
        <f>"丛新"</f>
        <v>丛新</v>
      </c>
      <c r="E114" s="8" t="str">
        <f t="shared" si="4"/>
        <v>女</v>
      </c>
      <c r="F114" s="8" t="str">
        <f>"1991-05-02"</f>
        <v>1991-05-02</v>
      </c>
      <c r="G114" s="9"/>
    </row>
    <row r="115" spans="1:7" ht="13.5">
      <c r="A115" s="7">
        <v>113</v>
      </c>
      <c r="B115" s="8" t="str">
        <f>"234120200831162337382"</f>
        <v>234120200831162337382</v>
      </c>
      <c r="C115" s="8" t="s">
        <v>8</v>
      </c>
      <c r="D115" s="8" t="str">
        <f>"邓井爱"</f>
        <v>邓井爱</v>
      </c>
      <c r="E115" s="8" t="str">
        <f t="shared" si="4"/>
        <v>女</v>
      </c>
      <c r="F115" s="8" t="str">
        <f>"1989-09-14"</f>
        <v>1989-09-14</v>
      </c>
      <c r="G115" s="9"/>
    </row>
    <row r="116" spans="1:7" ht="13.5">
      <c r="A116" s="7">
        <v>114</v>
      </c>
      <c r="B116" s="8" t="str">
        <f>"234120200831162402384"</f>
        <v>234120200831162402384</v>
      </c>
      <c r="C116" s="8" t="s">
        <v>8</v>
      </c>
      <c r="D116" s="8" t="str">
        <f>"潘雨"</f>
        <v>潘雨</v>
      </c>
      <c r="E116" s="8" t="str">
        <f t="shared" si="4"/>
        <v>女</v>
      </c>
      <c r="F116" s="8" t="str">
        <f>"1996-07-17"</f>
        <v>1996-07-17</v>
      </c>
      <c r="G116" s="9"/>
    </row>
    <row r="117" spans="1:7" ht="13.5">
      <c r="A117" s="7">
        <v>115</v>
      </c>
      <c r="B117" s="8" t="str">
        <f>"234120200831163804393"</f>
        <v>234120200831163804393</v>
      </c>
      <c r="C117" s="8" t="s">
        <v>8</v>
      </c>
      <c r="D117" s="8" t="str">
        <f>"卢小婷"</f>
        <v>卢小婷</v>
      </c>
      <c r="E117" s="8" t="str">
        <f t="shared" si="4"/>
        <v>女</v>
      </c>
      <c r="F117" s="8" t="str">
        <f>"1995-03-18"</f>
        <v>1995-03-18</v>
      </c>
      <c r="G117" s="9"/>
    </row>
    <row r="118" spans="1:7" ht="13.5">
      <c r="A118" s="7">
        <v>116</v>
      </c>
      <c r="B118" s="8" t="str">
        <f>"234120200831164230395"</f>
        <v>234120200831164230395</v>
      </c>
      <c r="C118" s="8" t="s">
        <v>8</v>
      </c>
      <c r="D118" s="8" t="str">
        <f>"吴小佳"</f>
        <v>吴小佳</v>
      </c>
      <c r="E118" s="8" t="str">
        <f t="shared" si="4"/>
        <v>女</v>
      </c>
      <c r="F118" s="8" t="str">
        <f>"1994-03-27"</f>
        <v>1994-03-27</v>
      </c>
      <c r="G118" s="9"/>
    </row>
    <row r="119" spans="1:7" ht="13.5">
      <c r="A119" s="7">
        <v>117</v>
      </c>
      <c r="B119" s="8" t="str">
        <f>"234120200831165434399"</f>
        <v>234120200831165434399</v>
      </c>
      <c r="C119" s="8" t="s">
        <v>8</v>
      </c>
      <c r="D119" s="8" t="str">
        <f>"王小丽"</f>
        <v>王小丽</v>
      </c>
      <c r="E119" s="8" t="str">
        <f t="shared" si="4"/>
        <v>女</v>
      </c>
      <c r="F119" s="8" t="str">
        <f>"1993-02-01"</f>
        <v>1993-02-01</v>
      </c>
      <c r="G119" s="9"/>
    </row>
    <row r="120" spans="1:7" ht="13.5">
      <c r="A120" s="7">
        <v>118</v>
      </c>
      <c r="B120" s="8" t="str">
        <f>"234120200831165540400"</f>
        <v>234120200831165540400</v>
      </c>
      <c r="C120" s="8" t="s">
        <v>8</v>
      </c>
      <c r="D120" s="8" t="str">
        <f>"张丽文"</f>
        <v>张丽文</v>
      </c>
      <c r="E120" s="8" t="str">
        <f t="shared" si="4"/>
        <v>女</v>
      </c>
      <c r="F120" s="8" t="str">
        <f>"1986-09-26"</f>
        <v>1986-09-26</v>
      </c>
      <c r="G120" s="9"/>
    </row>
    <row r="121" spans="1:7" ht="13.5">
      <c r="A121" s="7">
        <v>119</v>
      </c>
      <c r="B121" s="8" t="str">
        <f>"234120200831165800404"</f>
        <v>234120200831165800404</v>
      </c>
      <c r="C121" s="8" t="s">
        <v>8</v>
      </c>
      <c r="D121" s="8" t="str">
        <f>"肖智中"</f>
        <v>肖智中</v>
      </c>
      <c r="E121" s="8" t="str">
        <f>"男"</f>
        <v>男</v>
      </c>
      <c r="F121" s="8" t="str">
        <f>"1997-11-20"</f>
        <v>1997-11-20</v>
      </c>
      <c r="G121" s="9"/>
    </row>
    <row r="122" spans="1:7" ht="13.5">
      <c r="A122" s="7">
        <v>120</v>
      </c>
      <c r="B122" s="8" t="str">
        <f>"234120200831165911405"</f>
        <v>234120200831165911405</v>
      </c>
      <c r="C122" s="8" t="s">
        <v>8</v>
      </c>
      <c r="D122" s="8" t="str">
        <f>"梁潘林子"</f>
        <v>梁潘林子</v>
      </c>
      <c r="E122" s="8" t="str">
        <f aca="true" t="shared" si="5" ref="E122:E146">"女"</f>
        <v>女</v>
      </c>
      <c r="F122" s="8" t="str">
        <f>"1998-08-29"</f>
        <v>1998-08-29</v>
      </c>
      <c r="G122" s="9"/>
    </row>
    <row r="123" spans="1:7" ht="13.5">
      <c r="A123" s="7">
        <v>121</v>
      </c>
      <c r="B123" s="8" t="str">
        <f>"234120200831170930410"</f>
        <v>234120200831170930410</v>
      </c>
      <c r="C123" s="8" t="s">
        <v>8</v>
      </c>
      <c r="D123" s="8" t="str">
        <f>"王传为"</f>
        <v>王传为</v>
      </c>
      <c r="E123" s="8" t="str">
        <f t="shared" si="5"/>
        <v>女</v>
      </c>
      <c r="F123" s="8" t="str">
        <f>"1993-01-20"</f>
        <v>1993-01-20</v>
      </c>
      <c r="G123" s="9"/>
    </row>
    <row r="124" spans="1:7" ht="13.5">
      <c r="A124" s="7">
        <v>122</v>
      </c>
      <c r="B124" s="8" t="str">
        <f>"234120200831172236416"</f>
        <v>234120200831172236416</v>
      </c>
      <c r="C124" s="8" t="s">
        <v>8</v>
      </c>
      <c r="D124" s="8" t="str">
        <f>"陈赛苗"</f>
        <v>陈赛苗</v>
      </c>
      <c r="E124" s="8" t="str">
        <f t="shared" si="5"/>
        <v>女</v>
      </c>
      <c r="F124" s="8" t="str">
        <f>"1993-04-04"</f>
        <v>1993-04-04</v>
      </c>
      <c r="G124" s="9"/>
    </row>
    <row r="125" spans="1:7" ht="13.5">
      <c r="A125" s="7">
        <v>123</v>
      </c>
      <c r="B125" s="8" t="str">
        <f>"234120200831172612418"</f>
        <v>234120200831172612418</v>
      </c>
      <c r="C125" s="8" t="s">
        <v>8</v>
      </c>
      <c r="D125" s="8" t="str">
        <f>"苏刘青"</f>
        <v>苏刘青</v>
      </c>
      <c r="E125" s="8" t="str">
        <f t="shared" si="5"/>
        <v>女</v>
      </c>
      <c r="F125" s="8" t="str">
        <f>"1994-10-02"</f>
        <v>1994-10-02</v>
      </c>
      <c r="G125" s="9"/>
    </row>
    <row r="126" spans="1:7" ht="13.5">
      <c r="A126" s="7">
        <v>124</v>
      </c>
      <c r="B126" s="8" t="str">
        <f>"234120200831173221422"</f>
        <v>234120200831173221422</v>
      </c>
      <c r="C126" s="8" t="s">
        <v>8</v>
      </c>
      <c r="D126" s="8" t="str">
        <f>"孙颖"</f>
        <v>孙颖</v>
      </c>
      <c r="E126" s="8" t="str">
        <f t="shared" si="5"/>
        <v>女</v>
      </c>
      <c r="F126" s="8" t="str">
        <f>"1995-09-20"</f>
        <v>1995-09-20</v>
      </c>
      <c r="G126" s="9"/>
    </row>
    <row r="127" spans="1:7" ht="13.5">
      <c r="A127" s="7">
        <v>125</v>
      </c>
      <c r="B127" s="8" t="str">
        <f>"234120200831173617424"</f>
        <v>234120200831173617424</v>
      </c>
      <c r="C127" s="8" t="s">
        <v>8</v>
      </c>
      <c r="D127" s="8" t="str">
        <f>"林妍"</f>
        <v>林妍</v>
      </c>
      <c r="E127" s="8" t="str">
        <f t="shared" si="5"/>
        <v>女</v>
      </c>
      <c r="F127" s="8" t="str">
        <f>"1993-08-06"</f>
        <v>1993-08-06</v>
      </c>
      <c r="G127" s="9"/>
    </row>
    <row r="128" spans="1:7" ht="13.5">
      <c r="A128" s="7">
        <v>126</v>
      </c>
      <c r="B128" s="8" t="str">
        <f>"234120200831174005426"</f>
        <v>234120200831174005426</v>
      </c>
      <c r="C128" s="8" t="s">
        <v>8</v>
      </c>
      <c r="D128" s="8" t="str">
        <f>"付晓玉"</f>
        <v>付晓玉</v>
      </c>
      <c r="E128" s="8" t="str">
        <f t="shared" si="5"/>
        <v>女</v>
      </c>
      <c r="F128" s="8" t="str">
        <f>"1993-06-29"</f>
        <v>1993-06-29</v>
      </c>
      <c r="G128" s="9"/>
    </row>
    <row r="129" spans="1:7" ht="13.5">
      <c r="A129" s="7">
        <v>127</v>
      </c>
      <c r="B129" s="8" t="str">
        <f>"234120200831174716430"</f>
        <v>234120200831174716430</v>
      </c>
      <c r="C129" s="8" t="s">
        <v>8</v>
      </c>
      <c r="D129" s="8" t="str">
        <f>"蔡兰玉"</f>
        <v>蔡兰玉</v>
      </c>
      <c r="E129" s="8" t="str">
        <f t="shared" si="5"/>
        <v>女</v>
      </c>
      <c r="F129" s="8" t="str">
        <f>"1991-11-03"</f>
        <v>1991-11-03</v>
      </c>
      <c r="G129" s="9"/>
    </row>
    <row r="130" spans="1:7" ht="13.5">
      <c r="A130" s="7">
        <v>128</v>
      </c>
      <c r="B130" s="8" t="str">
        <f>"234120200831175203434"</f>
        <v>234120200831175203434</v>
      </c>
      <c r="C130" s="8" t="s">
        <v>8</v>
      </c>
      <c r="D130" s="8" t="str">
        <f>"杨淇月"</f>
        <v>杨淇月</v>
      </c>
      <c r="E130" s="8" t="str">
        <f t="shared" si="5"/>
        <v>女</v>
      </c>
      <c r="F130" s="8" t="str">
        <f>"1998-09-09"</f>
        <v>1998-09-09</v>
      </c>
      <c r="G130" s="9"/>
    </row>
    <row r="131" spans="1:7" ht="13.5">
      <c r="A131" s="7">
        <v>129</v>
      </c>
      <c r="B131" s="8" t="str">
        <f>"234120200831180629442"</f>
        <v>234120200831180629442</v>
      </c>
      <c r="C131" s="8" t="s">
        <v>8</v>
      </c>
      <c r="D131" s="8" t="str">
        <f>"张瑞玲"</f>
        <v>张瑞玲</v>
      </c>
      <c r="E131" s="8" t="str">
        <f t="shared" si="5"/>
        <v>女</v>
      </c>
      <c r="F131" s="8" t="str">
        <f>"1995-08-10"</f>
        <v>1995-08-10</v>
      </c>
      <c r="G131" s="9"/>
    </row>
    <row r="132" spans="1:7" ht="13.5">
      <c r="A132" s="7">
        <v>130</v>
      </c>
      <c r="B132" s="8" t="str">
        <f>"234120200831180924443"</f>
        <v>234120200831180924443</v>
      </c>
      <c r="C132" s="8" t="s">
        <v>8</v>
      </c>
      <c r="D132" s="8" t="str">
        <f>"颜达红"</f>
        <v>颜达红</v>
      </c>
      <c r="E132" s="8" t="str">
        <f t="shared" si="5"/>
        <v>女</v>
      </c>
      <c r="F132" s="8" t="str">
        <f>"1995-06-27"</f>
        <v>1995-06-27</v>
      </c>
      <c r="G132" s="9"/>
    </row>
    <row r="133" spans="1:7" ht="13.5">
      <c r="A133" s="7">
        <v>131</v>
      </c>
      <c r="B133" s="8" t="str">
        <f>"234120200831182641449"</f>
        <v>234120200831182641449</v>
      </c>
      <c r="C133" s="8" t="s">
        <v>8</v>
      </c>
      <c r="D133" s="8" t="str">
        <f>"董朝咪"</f>
        <v>董朝咪</v>
      </c>
      <c r="E133" s="8" t="str">
        <f t="shared" si="5"/>
        <v>女</v>
      </c>
      <c r="F133" s="8" t="str">
        <f>"1994-07-18"</f>
        <v>1994-07-18</v>
      </c>
      <c r="G133" s="9"/>
    </row>
    <row r="134" spans="1:7" ht="13.5">
      <c r="A134" s="7">
        <v>132</v>
      </c>
      <c r="B134" s="8" t="str">
        <f>"234120200831183526453"</f>
        <v>234120200831183526453</v>
      </c>
      <c r="C134" s="8" t="s">
        <v>8</v>
      </c>
      <c r="D134" s="8" t="str">
        <f>"吴艺洁"</f>
        <v>吴艺洁</v>
      </c>
      <c r="E134" s="8" t="str">
        <f t="shared" si="5"/>
        <v>女</v>
      </c>
      <c r="F134" s="8" t="str">
        <f>"1995-09-28"</f>
        <v>1995-09-28</v>
      </c>
      <c r="G134" s="9"/>
    </row>
    <row r="135" spans="1:7" ht="13.5">
      <c r="A135" s="7">
        <v>133</v>
      </c>
      <c r="B135" s="8" t="str">
        <f>"234120200831184527460"</f>
        <v>234120200831184527460</v>
      </c>
      <c r="C135" s="8" t="s">
        <v>8</v>
      </c>
      <c r="D135" s="8" t="str">
        <f>"李琼英"</f>
        <v>李琼英</v>
      </c>
      <c r="E135" s="8" t="str">
        <f t="shared" si="5"/>
        <v>女</v>
      </c>
      <c r="F135" s="8" t="str">
        <f>"1992-02-22"</f>
        <v>1992-02-22</v>
      </c>
      <c r="G135" s="9"/>
    </row>
    <row r="136" spans="1:7" ht="13.5">
      <c r="A136" s="7">
        <v>134</v>
      </c>
      <c r="B136" s="8" t="str">
        <f>"234120200831185447465"</f>
        <v>234120200831185447465</v>
      </c>
      <c r="C136" s="8" t="s">
        <v>8</v>
      </c>
      <c r="D136" s="8" t="str">
        <f>"陈霞"</f>
        <v>陈霞</v>
      </c>
      <c r="E136" s="8" t="str">
        <f t="shared" si="5"/>
        <v>女</v>
      </c>
      <c r="F136" s="8" t="str">
        <f>"1985-07-16"</f>
        <v>1985-07-16</v>
      </c>
      <c r="G136" s="9"/>
    </row>
    <row r="137" spans="1:7" ht="13.5">
      <c r="A137" s="7">
        <v>135</v>
      </c>
      <c r="B137" s="8" t="str">
        <f>"234120200831193526477"</f>
        <v>234120200831193526477</v>
      </c>
      <c r="C137" s="8" t="s">
        <v>8</v>
      </c>
      <c r="D137" s="8" t="str">
        <f>"陈雅"</f>
        <v>陈雅</v>
      </c>
      <c r="E137" s="8" t="str">
        <f t="shared" si="5"/>
        <v>女</v>
      </c>
      <c r="F137" s="8" t="str">
        <f>"1988-08-26"</f>
        <v>1988-08-26</v>
      </c>
      <c r="G137" s="9"/>
    </row>
    <row r="138" spans="1:7" ht="13.5">
      <c r="A138" s="7">
        <v>136</v>
      </c>
      <c r="B138" s="8" t="str">
        <f>"234120200831195310481"</f>
        <v>234120200831195310481</v>
      </c>
      <c r="C138" s="8" t="s">
        <v>8</v>
      </c>
      <c r="D138" s="8" t="str">
        <f>"李敏"</f>
        <v>李敏</v>
      </c>
      <c r="E138" s="8" t="str">
        <f t="shared" si="5"/>
        <v>女</v>
      </c>
      <c r="F138" s="8" t="str">
        <f>"1994-02-12"</f>
        <v>1994-02-12</v>
      </c>
      <c r="G138" s="9"/>
    </row>
    <row r="139" spans="1:7" ht="13.5">
      <c r="A139" s="7">
        <v>137</v>
      </c>
      <c r="B139" s="8" t="str">
        <f>"234120200831195953485"</f>
        <v>234120200831195953485</v>
      </c>
      <c r="C139" s="8" t="s">
        <v>8</v>
      </c>
      <c r="D139" s="8" t="str">
        <f>"李红"</f>
        <v>李红</v>
      </c>
      <c r="E139" s="8" t="str">
        <f t="shared" si="5"/>
        <v>女</v>
      </c>
      <c r="F139" s="8" t="str">
        <f>"1992-11-10"</f>
        <v>1992-11-10</v>
      </c>
      <c r="G139" s="9"/>
    </row>
    <row r="140" spans="1:7" ht="13.5">
      <c r="A140" s="7">
        <v>138</v>
      </c>
      <c r="B140" s="8" t="str">
        <f>"234120200831200132486"</f>
        <v>234120200831200132486</v>
      </c>
      <c r="C140" s="8" t="s">
        <v>8</v>
      </c>
      <c r="D140" s="8" t="str">
        <f>"郑再娜"</f>
        <v>郑再娜</v>
      </c>
      <c r="E140" s="8" t="str">
        <f t="shared" si="5"/>
        <v>女</v>
      </c>
      <c r="F140" s="8" t="str">
        <f>"1995-11-03"</f>
        <v>1995-11-03</v>
      </c>
      <c r="G140" s="9"/>
    </row>
    <row r="141" spans="1:7" ht="13.5">
      <c r="A141" s="7">
        <v>139</v>
      </c>
      <c r="B141" s="8" t="str">
        <f>"234120200831201505491"</f>
        <v>234120200831201505491</v>
      </c>
      <c r="C141" s="8" t="s">
        <v>8</v>
      </c>
      <c r="D141" s="8" t="str">
        <f>"蓝蕾"</f>
        <v>蓝蕾</v>
      </c>
      <c r="E141" s="8" t="str">
        <f t="shared" si="5"/>
        <v>女</v>
      </c>
      <c r="F141" s="8" t="str">
        <f>"1998-07-25"</f>
        <v>1998-07-25</v>
      </c>
      <c r="G141" s="9"/>
    </row>
    <row r="142" spans="1:7" ht="13.5">
      <c r="A142" s="7">
        <v>140</v>
      </c>
      <c r="B142" s="8" t="str">
        <f>"234120200831201705495"</f>
        <v>234120200831201705495</v>
      </c>
      <c r="C142" s="8" t="s">
        <v>8</v>
      </c>
      <c r="D142" s="8" t="str">
        <f>"林妍"</f>
        <v>林妍</v>
      </c>
      <c r="E142" s="8" t="str">
        <f t="shared" si="5"/>
        <v>女</v>
      </c>
      <c r="F142" s="8" t="str">
        <f>"1991-04-24"</f>
        <v>1991-04-24</v>
      </c>
      <c r="G142" s="9"/>
    </row>
    <row r="143" spans="1:7" ht="13.5">
      <c r="A143" s="7">
        <v>141</v>
      </c>
      <c r="B143" s="8" t="str">
        <f>"234120200831202012496"</f>
        <v>234120200831202012496</v>
      </c>
      <c r="C143" s="8" t="s">
        <v>8</v>
      </c>
      <c r="D143" s="8" t="str">
        <f>"符兰妍"</f>
        <v>符兰妍</v>
      </c>
      <c r="E143" s="8" t="str">
        <f t="shared" si="5"/>
        <v>女</v>
      </c>
      <c r="F143" s="8" t="str">
        <f>"1992-05-08"</f>
        <v>1992-05-08</v>
      </c>
      <c r="G143" s="9"/>
    </row>
    <row r="144" spans="1:7" ht="13.5">
      <c r="A144" s="7">
        <v>142</v>
      </c>
      <c r="B144" s="8" t="str">
        <f>"234120200831202351499"</f>
        <v>234120200831202351499</v>
      </c>
      <c r="C144" s="8" t="s">
        <v>8</v>
      </c>
      <c r="D144" s="8" t="str">
        <f>"周芳芳"</f>
        <v>周芳芳</v>
      </c>
      <c r="E144" s="8" t="str">
        <f t="shared" si="5"/>
        <v>女</v>
      </c>
      <c r="F144" s="8" t="str">
        <f>"1992-09-06"</f>
        <v>1992-09-06</v>
      </c>
      <c r="G144" s="9"/>
    </row>
    <row r="145" spans="1:7" ht="13.5">
      <c r="A145" s="7">
        <v>143</v>
      </c>
      <c r="B145" s="8" t="str">
        <f>"234120200831202920502"</f>
        <v>234120200831202920502</v>
      </c>
      <c r="C145" s="8" t="s">
        <v>8</v>
      </c>
      <c r="D145" s="8" t="str">
        <f>"许源梓"</f>
        <v>许源梓</v>
      </c>
      <c r="E145" s="8" t="str">
        <f t="shared" si="5"/>
        <v>女</v>
      </c>
      <c r="F145" s="8" t="str">
        <f>"1989-03-16"</f>
        <v>1989-03-16</v>
      </c>
      <c r="G145" s="9"/>
    </row>
    <row r="146" spans="1:7" ht="13.5">
      <c r="A146" s="7">
        <v>144</v>
      </c>
      <c r="B146" s="8" t="str">
        <f>"234120200831203751506"</f>
        <v>234120200831203751506</v>
      </c>
      <c r="C146" s="8" t="s">
        <v>8</v>
      </c>
      <c r="D146" s="8" t="str">
        <f>"符应桃"</f>
        <v>符应桃</v>
      </c>
      <c r="E146" s="8" t="str">
        <f t="shared" si="5"/>
        <v>女</v>
      </c>
      <c r="F146" s="8" t="str">
        <f>"1994-12-12"</f>
        <v>1994-12-12</v>
      </c>
      <c r="G146" s="9"/>
    </row>
    <row r="147" spans="1:7" ht="13.5">
      <c r="A147" s="7">
        <v>145</v>
      </c>
      <c r="B147" s="8" t="str">
        <f>"234120200831204143510"</f>
        <v>234120200831204143510</v>
      </c>
      <c r="C147" s="8" t="s">
        <v>8</v>
      </c>
      <c r="D147" s="8" t="str">
        <f>"谢海聪"</f>
        <v>谢海聪</v>
      </c>
      <c r="E147" s="8" t="str">
        <f>"男"</f>
        <v>男</v>
      </c>
      <c r="F147" s="8" t="str">
        <f>"1992-03-08"</f>
        <v>1992-03-08</v>
      </c>
      <c r="G147" s="9"/>
    </row>
    <row r="148" spans="1:7" ht="13.5">
      <c r="A148" s="7">
        <v>146</v>
      </c>
      <c r="B148" s="8" t="str">
        <f>"234120200831204307511"</f>
        <v>234120200831204307511</v>
      </c>
      <c r="C148" s="8" t="s">
        <v>8</v>
      </c>
      <c r="D148" s="8" t="str">
        <f>"曾姝旖"</f>
        <v>曾姝旖</v>
      </c>
      <c r="E148" s="8" t="str">
        <f>"女"</f>
        <v>女</v>
      </c>
      <c r="F148" s="8" t="str">
        <f>"1997-01-22"</f>
        <v>1997-01-22</v>
      </c>
      <c r="G148" s="9"/>
    </row>
    <row r="149" spans="1:7" ht="13.5">
      <c r="A149" s="7">
        <v>147</v>
      </c>
      <c r="B149" s="8" t="str">
        <f>"234120200831204312512"</f>
        <v>234120200831204312512</v>
      </c>
      <c r="C149" s="8" t="s">
        <v>8</v>
      </c>
      <c r="D149" s="8" t="str">
        <f>"王铃"</f>
        <v>王铃</v>
      </c>
      <c r="E149" s="8" t="str">
        <f>"女"</f>
        <v>女</v>
      </c>
      <c r="F149" s="8" t="str">
        <f>"1997-02-13"</f>
        <v>1997-02-13</v>
      </c>
      <c r="G149" s="9"/>
    </row>
    <row r="150" spans="1:7" ht="13.5">
      <c r="A150" s="7">
        <v>148</v>
      </c>
      <c r="B150" s="8" t="str">
        <f>"234120200831205111515"</f>
        <v>234120200831205111515</v>
      </c>
      <c r="C150" s="8" t="s">
        <v>8</v>
      </c>
      <c r="D150" s="8" t="str">
        <f>"翁翠梨"</f>
        <v>翁翠梨</v>
      </c>
      <c r="E150" s="8" t="str">
        <f>"女"</f>
        <v>女</v>
      </c>
      <c r="F150" s="8" t="str">
        <f>"1997-08-27"</f>
        <v>1997-08-27</v>
      </c>
      <c r="G150" s="9"/>
    </row>
    <row r="151" spans="1:7" ht="13.5">
      <c r="A151" s="7">
        <v>149</v>
      </c>
      <c r="B151" s="8" t="str">
        <f>"234120200831205227516"</f>
        <v>234120200831205227516</v>
      </c>
      <c r="C151" s="8" t="s">
        <v>8</v>
      </c>
      <c r="D151" s="8" t="str">
        <f>"辛浪琼"</f>
        <v>辛浪琼</v>
      </c>
      <c r="E151" s="8" t="str">
        <f>"女"</f>
        <v>女</v>
      </c>
      <c r="F151" s="8" t="str">
        <f>"1996-12-09"</f>
        <v>1996-12-09</v>
      </c>
      <c r="G151" s="9"/>
    </row>
    <row r="152" spans="1:7" ht="13.5">
      <c r="A152" s="7">
        <v>150</v>
      </c>
      <c r="B152" s="8" t="str">
        <f>"234120200831211218524"</f>
        <v>234120200831211218524</v>
      </c>
      <c r="C152" s="8" t="s">
        <v>8</v>
      </c>
      <c r="D152" s="8" t="str">
        <f>"詹尊宇"</f>
        <v>詹尊宇</v>
      </c>
      <c r="E152" s="8" t="str">
        <f>"男"</f>
        <v>男</v>
      </c>
      <c r="F152" s="8" t="str">
        <f>"1995-06-14"</f>
        <v>1995-06-14</v>
      </c>
      <c r="G152" s="9"/>
    </row>
    <row r="153" spans="1:7" ht="13.5">
      <c r="A153" s="7">
        <v>151</v>
      </c>
      <c r="B153" s="8" t="str">
        <f>"234120200831212933527"</f>
        <v>234120200831212933527</v>
      </c>
      <c r="C153" s="8" t="s">
        <v>8</v>
      </c>
      <c r="D153" s="8" t="str">
        <f>"卢张连"</f>
        <v>卢张连</v>
      </c>
      <c r="E153" s="8" t="str">
        <f>"女"</f>
        <v>女</v>
      </c>
      <c r="F153" s="8" t="str">
        <f>"1992-10-21"</f>
        <v>1992-10-21</v>
      </c>
      <c r="G153" s="9"/>
    </row>
    <row r="154" spans="1:7" ht="13.5">
      <c r="A154" s="7">
        <v>152</v>
      </c>
      <c r="B154" s="8" t="str">
        <f>"234120200831213021529"</f>
        <v>234120200831213021529</v>
      </c>
      <c r="C154" s="8" t="s">
        <v>8</v>
      </c>
      <c r="D154" s="8" t="str">
        <f>"唐柏元"</f>
        <v>唐柏元</v>
      </c>
      <c r="E154" s="8" t="str">
        <f>"女"</f>
        <v>女</v>
      </c>
      <c r="F154" s="8" t="str">
        <f>"1995-01-18"</f>
        <v>1995-01-18</v>
      </c>
      <c r="G154" s="9"/>
    </row>
    <row r="155" spans="1:7" ht="13.5">
      <c r="A155" s="7">
        <v>153</v>
      </c>
      <c r="B155" s="8" t="str">
        <f>"234120200831213039530"</f>
        <v>234120200831213039530</v>
      </c>
      <c r="C155" s="8" t="s">
        <v>8</v>
      </c>
      <c r="D155" s="8" t="str">
        <f>"吴碧丹"</f>
        <v>吴碧丹</v>
      </c>
      <c r="E155" s="8" t="str">
        <f>"女"</f>
        <v>女</v>
      </c>
      <c r="F155" s="8" t="str">
        <f>"1991-08-01"</f>
        <v>1991-08-01</v>
      </c>
      <c r="G155" s="9"/>
    </row>
    <row r="156" spans="1:7" ht="13.5">
      <c r="A156" s="7">
        <v>154</v>
      </c>
      <c r="B156" s="8" t="str">
        <f>"234120200831213917532"</f>
        <v>234120200831213917532</v>
      </c>
      <c r="C156" s="8" t="s">
        <v>8</v>
      </c>
      <c r="D156" s="8" t="str">
        <f>"彭康"</f>
        <v>彭康</v>
      </c>
      <c r="E156" s="8" t="str">
        <f>"男"</f>
        <v>男</v>
      </c>
      <c r="F156" s="8" t="str">
        <f>"1987-03-05"</f>
        <v>1987-03-05</v>
      </c>
      <c r="G156" s="9"/>
    </row>
    <row r="157" spans="1:7" ht="13.5">
      <c r="A157" s="7">
        <v>155</v>
      </c>
      <c r="B157" s="8" t="str">
        <f>"234120200831214528535"</f>
        <v>234120200831214528535</v>
      </c>
      <c r="C157" s="8" t="s">
        <v>8</v>
      </c>
      <c r="D157" s="8" t="str">
        <f>"周冬雪"</f>
        <v>周冬雪</v>
      </c>
      <c r="E157" s="8" t="str">
        <f aca="true" t="shared" si="6" ref="E157:E186">"女"</f>
        <v>女</v>
      </c>
      <c r="F157" s="8" t="str">
        <f>"1996-12-21"</f>
        <v>1996-12-21</v>
      </c>
      <c r="G157" s="9"/>
    </row>
    <row r="158" spans="1:7" ht="13.5">
      <c r="A158" s="7">
        <v>156</v>
      </c>
      <c r="B158" s="8" t="str">
        <f>"234120200831215356539"</f>
        <v>234120200831215356539</v>
      </c>
      <c r="C158" s="8" t="s">
        <v>8</v>
      </c>
      <c r="D158" s="8" t="str">
        <f>"郭淑瑜"</f>
        <v>郭淑瑜</v>
      </c>
      <c r="E158" s="8" t="str">
        <f t="shared" si="6"/>
        <v>女</v>
      </c>
      <c r="F158" s="8" t="str">
        <f>"1998-07-04"</f>
        <v>1998-07-04</v>
      </c>
      <c r="G158" s="9"/>
    </row>
    <row r="159" spans="1:7" ht="13.5">
      <c r="A159" s="7">
        <v>157</v>
      </c>
      <c r="B159" s="8" t="str">
        <f>"234120200831215951543"</f>
        <v>234120200831215951543</v>
      </c>
      <c r="C159" s="8" t="s">
        <v>8</v>
      </c>
      <c r="D159" s="8" t="str">
        <f>"陈姚杉"</f>
        <v>陈姚杉</v>
      </c>
      <c r="E159" s="8" t="str">
        <f t="shared" si="6"/>
        <v>女</v>
      </c>
      <c r="F159" s="8" t="str">
        <f>"1993-09-02"</f>
        <v>1993-09-02</v>
      </c>
      <c r="G159" s="9"/>
    </row>
    <row r="160" spans="1:7" ht="13.5">
      <c r="A160" s="7">
        <v>158</v>
      </c>
      <c r="B160" s="8" t="str">
        <f>"234120200831220731545"</f>
        <v>234120200831220731545</v>
      </c>
      <c r="C160" s="8" t="s">
        <v>8</v>
      </c>
      <c r="D160" s="8" t="str">
        <f>"王玫"</f>
        <v>王玫</v>
      </c>
      <c r="E160" s="8" t="str">
        <f t="shared" si="6"/>
        <v>女</v>
      </c>
      <c r="F160" s="8" t="str">
        <f>"1987-02-08"</f>
        <v>1987-02-08</v>
      </c>
      <c r="G160" s="9"/>
    </row>
    <row r="161" spans="1:7" ht="13.5">
      <c r="A161" s="7">
        <v>159</v>
      </c>
      <c r="B161" s="8" t="str">
        <f>"234120200831222215549"</f>
        <v>234120200831222215549</v>
      </c>
      <c r="C161" s="8" t="s">
        <v>8</v>
      </c>
      <c r="D161" s="8" t="str">
        <f>"陈尼"</f>
        <v>陈尼</v>
      </c>
      <c r="E161" s="8" t="str">
        <f t="shared" si="6"/>
        <v>女</v>
      </c>
      <c r="F161" s="8" t="str">
        <f>"1989-02-14"</f>
        <v>1989-02-14</v>
      </c>
      <c r="G161" s="9"/>
    </row>
    <row r="162" spans="1:7" ht="13.5">
      <c r="A162" s="7">
        <v>160</v>
      </c>
      <c r="B162" s="8" t="str">
        <f>"234120200831222810550"</f>
        <v>234120200831222810550</v>
      </c>
      <c r="C162" s="8" t="s">
        <v>8</v>
      </c>
      <c r="D162" s="8" t="str">
        <f>"李芬"</f>
        <v>李芬</v>
      </c>
      <c r="E162" s="8" t="str">
        <f t="shared" si="6"/>
        <v>女</v>
      </c>
      <c r="F162" s="8" t="str">
        <f>"1996-01-25"</f>
        <v>1996-01-25</v>
      </c>
      <c r="G162" s="9"/>
    </row>
    <row r="163" spans="1:7" ht="13.5">
      <c r="A163" s="7">
        <v>161</v>
      </c>
      <c r="B163" s="8" t="str">
        <f>"234120200831222902551"</f>
        <v>234120200831222902551</v>
      </c>
      <c r="C163" s="8" t="s">
        <v>8</v>
      </c>
      <c r="D163" s="8" t="str">
        <f>"林方媚"</f>
        <v>林方媚</v>
      </c>
      <c r="E163" s="8" t="str">
        <f t="shared" si="6"/>
        <v>女</v>
      </c>
      <c r="F163" s="8" t="str">
        <f>"1990-04-12"</f>
        <v>1990-04-12</v>
      </c>
      <c r="G163" s="9"/>
    </row>
    <row r="164" spans="1:7" ht="13.5">
      <c r="A164" s="7">
        <v>162</v>
      </c>
      <c r="B164" s="8" t="str">
        <f>"234120200831223017553"</f>
        <v>234120200831223017553</v>
      </c>
      <c r="C164" s="8" t="s">
        <v>8</v>
      </c>
      <c r="D164" s="8" t="str">
        <f>"符有平"</f>
        <v>符有平</v>
      </c>
      <c r="E164" s="8" t="str">
        <f t="shared" si="6"/>
        <v>女</v>
      </c>
      <c r="F164" s="8" t="str">
        <f>"1993-08-18"</f>
        <v>1993-08-18</v>
      </c>
      <c r="G164" s="9"/>
    </row>
    <row r="165" spans="1:7" ht="13.5">
      <c r="A165" s="7">
        <v>163</v>
      </c>
      <c r="B165" s="8" t="str">
        <f>"234120200831224243556"</f>
        <v>234120200831224243556</v>
      </c>
      <c r="C165" s="8" t="s">
        <v>8</v>
      </c>
      <c r="D165" s="8" t="str">
        <f>"邢增菊"</f>
        <v>邢增菊</v>
      </c>
      <c r="E165" s="8" t="str">
        <f t="shared" si="6"/>
        <v>女</v>
      </c>
      <c r="F165" s="8" t="str">
        <f>"1989-05-26"</f>
        <v>1989-05-26</v>
      </c>
      <c r="G165" s="9"/>
    </row>
    <row r="166" spans="1:7" ht="13.5">
      <c r="A166" s="7">
        <v>164</v>
      </c>
      <c r="B166" s="8" t="str">
        <f>"234120200831225550560"</f>
        <v>234120200831225550560</v>
      </c>
      <c r="C166" s="8" t="s">
        <v>8</v>
      </c>
      <c r="D166" s="8" t="str">
        <f>"罗琪冉"</f>
        <v>罗琪冉</v>
      </c>
      <c r="E166" s="8" t="str">
        <f t="shared" si="6"/>
        <v>女</v>
      </c>
      <c r="F166" s="8" t="str">
        <f>"1996-11-15"</f>
        <v>1996-11-15</v>
      </c>
      <c r="G166" s="9"/>
    </row>
    <row r="167" spans="1:7" ht="13.5">
      <c r="A167" s="7">
        <v>165</v>
      </c>
      <c r="B167" s="8" t="str">
        <f>"234120200831232252568"</f>
        <v>234120200831232252568</v>
      </c>
      <c r="C167" s="8" t="s">
        <v>8</v>
      </c>
      <c r="D167" s="8" t="str">
        <f>"符梦云"</f>
        <v>符梦云</v>
      </c>
      <c r="E167" s="8" t="str">
        <f t="shared" si="6"/>
        <v>女</v>
      </c>
      <c r="F167" s="8" t="str">
        <f>"1998-09-22"</f>
        <v>1998-09-22</v>
      </c>
      <c r="G167" s="9"/>
    </row>
    <row r="168" spans="1:7" ht="13.5">
      <c r="A168" s="7">
        <v>166</v>
      </c>
      <c r="B168" s="8" t="str">
        <f>"234120200831233132572"</f>
        <v>234120200831233132572</v>
      </c>
      <c r="C168" s="8" t="s">
        <v>8</v>
      </c>
      <c r="D168" s="8" t="str">
        <f>"单思维"</f>
        <v>单思维</v>
      </c>
      <c r="E168" s="8" t="str">
        <f t="shared" si="6"/>
        <v>女</v>
      </c>
      <c r="F168" s="8" t="str">
        <f>"1994-11-09"</f>
        <v>1994-11-09</v>
      </c>
      <c r="G168" s="9"/>
    </row>
    <row r="169" spans="1:7" ht="13.5">
      <c r="A169" s="7">
        <v>167</v>
      </c>
      <c r="B169" s="8" t="str">
        <f>"234120200831233141573"</f>
        <v>234120200831233141573</v>
      </c>
      <c r="C169" s="8" t="s">
        <v>8</v>
      </c>
      <c r="D169" s="8" t="str">
        <f>"吴儒菊"</f>
        <v>吴儒菊</v>
      </c>
      <c r="E169" s="8" t="str">
        <f t="shared" si="6"/>
        <v>女</v>
      </c>
      <c r="F169" s="8" t="str">
        <f>"1996-11-30"</f>
        <v>1996-11-30</v>
      </c>
      <c r="G169" s="9"/>
    </row>
    <row r="170" spans="1:7" ht="13.5">
      <c r="A170" s="7">
        <v>168</v>
      </c>
      <c r="B170" s="8" t="str">
        <f>"234120200901071532584"</f>
        <v>234120200901071532584</v>
      </c>
      <c r="C170" s="8" t="s">
        <v>8</v>
      </c>
      <c r="D170" s="8" t="str">
        <f>"林华影"</f>
        <v>林华影</v>
      </c>
      <c r="E170" s="8" t="str">
        <f t="shared" si="6"/>
        <v>女</v>
      </c>
      <c r="F170" s="8" t="str">
        <f>"1996-08-27"</f>
        <v>1996-08-27</v>
      </c>
      <c r="G170" s="9"/>
    </row>
    <row r="171" spans="1:7" ht="13.5">
      <c r="A171" s="7">
        <v>169</v>
      </c>
      <c r="B171" s="8" t="str">
        <f>"234120200901072056585"</f>
        <v>234120200901072056585</v>
      </c>
      <c r="C171" s="8" t="s">
        <v>8</v>
      </c>
      <c r="D171" s="8" t="str">
        <f>"徐妃"</f>
        <v>徐妃</v>
      </c>
      <c r="E171" s="8" t="str">
        <f t="shared" si="6"/>
        <v>女</v>
      </c>
      <c r="F171" s="8" t="str">
        <f>"1998-03-07"</f>
        <v>1998-03-07</v>
      </c>
      <c r="G171" s="9"/>
    </row>
    <row r="172" spans="1:7" ht="13.5">
      <c r="A172" s="7">
        <v>170</v>
      </c>
      <c r="B172" s="8" t="str">
        <f>"234120200901083642592"</f>
        <v>234120200901083642592</v>
      </c>
      <c r="C172" s="8" t="s">
        <v>8</v>
      </c>
      <c r="D172" s="8" t="str">
        <f>"韩惠妃"</f>
        <v>韩惠妃</v>
      </c>
      <c r="E172" s="8" t="str">
        <f t="shared" si="6"/>
        <v>女</v>
      </c>
      <c r="F172" s="8" t="str">
        <f>"1998-06-26"</f>
        <v>1998-06-26</v>
      </c>
      <c r="G172" s="9"/>
    </row>
    <row r="173" spans="1:7" ht="13.5">
      <c r="A173" s="7">
        <v>171</v>
      </c>
      <c r="B173" s="8" t="str">
        <f>"234120200901090052597"</f>
        <v>234120200901090052597</v>
      </c>
      <c r="C173" s="8" t="s">
        <v>8</v>
      </c>
      <c r="D173" s="8" t="str">
        <f>"林华君"</f>
        <v>林华君</v>
      </c>
      <c r="E173" s="8" t="str">
        <f t="shared" si="6"/>
        <v>女</v>
      </c>
      <c r="F173" s="8" t="str">
        <f>"1997-05-09"</f>
        <v>1997-05-09</v>
      </c>
      <c r="G173" s="9"/>
    </row>
    <row r="174" spans="1:7" ht="13.5">
      <c r="A174" s="7">
        <v>172</v>
      </c>
      <c r="B174" s="8" t="str">
        <f>"234120200901090346598"</f>
        <v>234120200901090346598</v>
      </c>
      <c r="C174" s="8" t="s">
        <v>8</v>
      </c>
      <c r="D174" s="8" t="str">
        <f>"曹婷"</f>
        <v>曹婷</v>
      </c>
      <c r="E174" s="8" t="str">
        <f t="shared" si="6"/>
        <v>女</v>
      </c>
      <c r="F174" s="8" t="str">
        <f>"1995-02-28"</f>
        <v>1995-02-28</v>
      </c>
      <c r="G174" s="9"/>
    </row>
    <row r="175" spans="1:7" ht="13.5">
      <c r="A175" s="7">
        <v>173</v>
      </c>
      <c r="B175" s="8" t="str">
        <f>"234120200901091341601"</f>
        <v>234120200901091341601</v>
      </c>
      <c r="C175" s="8" t="s">
        <v>8</v>
      </c>
      <c r="D175" s="8" t="str">
        <f>"邓茹"</f>
        <v>邓茹</v>
      </c>
      <c r="E175" s="8" t="str">
        <f t="shared" si="6"/>
        <v>女</v>
      </c>
      <c r="F175" s="8" t="str">
        <f>"1996-07-24"</f>
        <v>1996-07-24</v>
      </c>
      <c r="G175" s="9"/>
    </row>
    <row r="176" spans="1:7" ht="13.5">
      <c r="A176" s="7">
        <v>174</v>
      </c>
      <c r="B176" s="8" t="str">
        <f>"234120200901092159604"</f>
        <v>234120200901092159604</v>
      </c>
      <c r="C176" s="8" t="s">
        <v>8</v>
      </c>
      <c r="D176" s="8" t="str">
        <f>"付成媛"</f>
        <v>付成媛</v>
      </c>
      <c r="E176" s="8" t="str">
        <f t="shared" si="6"/>
        <v>女</v>
      </c>
      <c r="F176" s="8" t="str">
        <f>"1987-08-30"</f>
        <v>1987-08-30</v>
      </c>
      <c r="G176" s="9"/>
    </row>
    <row r="177" spans="1:7" ht="13.5">
      <c r="A177" s="7">
        <v>175</v>
      </c>
      <c r="B177" s="8" t="str">
        <f>"234120200901093819606"</f>
        <v>234120200901093819606</v>
      </c>
      <c r="C177" s="8" t="s">
        <v>8</v>
      </c>
      <c r="D177" s="8" t="str">
        <f>"马晓欣"</f>
        <v>马晓欣</v>
      </c>
      <c r="E177" s="8" t="str">
        <f t="shared" si="6"/>
        <v>女</v>
      </c>
      <c r="F177" s="8" t="str">
        <f>"1986-10-14"</f>
        <v>1986-10-14</v>
      </c>
      <c r="G177" s="9"/>
    </row>
    <row r="178" spans="1:7" ht="13.5">
      <c r="A178" s="7">
        <v>176</v>
      </c>
      <c r="B178" s="8" t="str">
        <f>"234120200901093916608"</f>
        <v>234120200901093916608</v>
      </c>
      <c r="C178" s="8" t="s">
        <v>8</v>
      </c>
      <c r="D178" s="8" t="str">
        <f>"董以娇"</f>
        <v>董以娇</v>
      </c>
      <c r="E178" s="8" t="str">
        <f t="shared" si="6"/>
        <v>女</v>
      </c>
      <c r="F178" s="8" t="str">
        <f>"1991-04-06"</f>
        <v>1991-04-06</v>
      </c>
      <c r="G178" s="9"/>
    </row>
    <row r="179" spans="1:7" ht="13.5">
      <c r="A179" s="7">
        <v>177</v>
      </c>
      <c r="B179" s="8" t="str">
        <f>"234120200901093939609"</f>
        <v>234120200901093939609</v>
      </c>
      <c r="C179" s="8" t="s">
        <v>8</v>
      </c>
      <c r="D179" s="8" t="str">
        <f>"何柳"</f>
        <v>何柳</v>
      </c>
      <c r="E179" s="8" t="str">
        <f t="shared" si="6"/>
        <v>女</v>
      </c>
      <c r="F179" s="8" t="str">
        <f>"1997-07-03"</f>
        <v>1997-07-03</v>
      </c>
      <c r="G179" s="9"/>
    </row>
    <row r="180" spans="1:7" ht="13.5">
      <c r="A180" s="7">
        <v>178</v>
      </c>
      <c r="B180" s="8" t="str">
        <f>"234120200901094053611"</f>
        <v>234120200901094053611</v>
      </c>
      <c r="C180" s="8" t="s">
        <v>8</v>
      </c>
      <c r="D180" s="8" t="str">
        <f>"李苗苗"</f>
        <v>李苗苗</v>
      </c>
      <c r="E180" s="8" t="str">
        <f t="shared" si="6"/>
        <v>女</v>
      </c>
      <c r="F180" s="8" t="str">
        <f>"1990-10-08"</f>
        <v>1990-10-08</v>
      </c>
      <c r="G180" s="9"/>
    </row>
    <row r="181" spans="1:7" ht="13.5">
      <c r="A181" s="7">
        <v>179</v>
      </c>
      <c r="B181" s="8" t="str">
        <f>"234120200901094113612"</f>
        <v>234120200901094113612</v>
      </c>
      <c r="C181" s="8" t="s">
        <v>8</v>
      </c>
      <c r="D181" s="8" t="str">
        <f>"郑学彩"</f>
        <v>郑学彩</v>
      </c>
      <c r="E181" s="8" t="str">
        <f t="shared" si="6"/>
        <v>女</v>
      </c>
      <c r="F181" s="8" t="str">
        <f>"1997-10-10"</f>
        <v>1997-10-10</v>
      </c>
      <c r="G181" s="9"/>
    </row>
    <row r="182" spans="1:7" ht="13.5">
      <c r="A182" s="7">
        <v>180</v>
      </c>
      <c r="B182" s="8" t="str">
        <f>"234120200901094256618"</f>
        <v>234120200901094256618</v>
      </c>
      <c r="C182" s="8" t="s">
        <v>8</v>
      </c>
      <c r="D182" s="8" t="str">
        <f>"曹佳兴"</f>
        <v>曹佳兴</v>
      </c>
      <c r="E182" s="8" t="str">
        <f t="shared" si="6"/>
        <v>女</v>
      </c>
      <c r="F182" s="8" t="str">
        <f>"1993-03-25"</f>
        <v>1993-03-25</v>
      </c>
      <c r="G182" s="9"/>
    </row>
    <row r="183" spans="1:7" ht="13.5">
      <c r="A183" s="7">
        <v>181</v>
      </c>
      <c r="B183" s="8" t="str">
        <f>"234120200901094537619"</f>
        <v>234120200901094537619</v>
      </c>
      <c r="C183" s="8" t="s">
        <v>8</v>
      </c>
      <c r="D183" s="8" t="str">
        <f>"田颖琪"</f>
        <v>田颖琪</v>
      </c>
      <c r="E183" s="8" t="str">
        <f t="shared" si="6"/>
        <v>女</v>
      </c>
      <c r="F183" s="8" t="str">
        <f>"1998-04-23"</f>
        <v>1998-04-23</v>
      </c>
      <c r="G183" s="9"/>
    </row>
    <row r="184" spans="1:7" ht="13.5">
      <c r="A184" s="7">
        <v>182</v>
      </c>
      <c r="B184" s="8" t="str">
        <f>"234120200901095145621"</f>
        <v>234120200901095145621</v>
      </c>
      <c r="C184" s="8" t="s">
        <v>8</v>
      </c>
      <c r="D184" s="8" t="str">
        <f>"王诗雅"</f>
        <v>王诗雅</v>
      </c>
      <c r="E184" s="8" t="str">
        <f t="shared" si="6"/>
        <v>女</v>
      </c>
      <c r="F184" s="8" t="str">
        <f>"1995-06-29"</f>
        <v>1995-06-29</v>
      </c>
      <c r="G184" s="9"/>
    </row>
    <row r="185" spans="1:7" ht="13.5">
      <c r="A185" s="7">
        <v>183</v>
      </c>
      <c r="B185" s="8" t="str">
        <f>"234120200901100147623"</f>
        <v>234120200901100147623</v>
      </c>
      <c r="C185" s="8" t="s">
        <v>8</v>
      </c>
      <c r="D185" s="8" t="str">
        <f>"吴蕾蕾"</f>
        <v>吴蕾蕾</v>
      </c>
      <c r="E185" s="8" t="str">
        <f t="shared" si="6"/>
        <v>女</v>
      </c>
      <c r="F185" s="8" t="str">
        <f>"1997-06-15"</f>
        <v>1997-06-15</v>
      </c>
      <c r="G185" s="9"/>
    </row>
    <row r="186" spans="1:7" ht="13.5">
      <c r="A186" s="7">
        <v>184</v>
      </c>
      <c r="B186" s="8" t="str">
        <f>"234120200901100149624"</f>
        <v>234120200901100149624</v>
      </c>
      <c r="C186" s="8" t="s">
        <v>8</v>
      </c>
      <c r="D186" s="8" t="str">
        <f>"符翠琼"</f>
        <v>符翠琼</v>
      </c>
      <c r="E186" s="8" t="str">
        <f t="shared" si="6"/>
        <v>女</v>
      </c>
      <c r="F186" s="8" t="str">
        <f>"1994-06-06"</f>
        <v>1994-06-06</v>
      </c>
      <c r="G186" s="9"/>
    </row>
    <row r="187" spans="1:7" ht="13.5">
      <c r="A187" s="7">
        <v>185</v>
      </c>
      <c r="B187" s="8" t="str">
        <f>"234120200901100251625"</f>
        <v>234120200901100251625</v>
      </c>
      <c r="C187" s="8" t="s">
        <v>8</v>
      </c>
      <c r="D187" s="8" t="str">
        <f>"李磊"</f>
        <v>李磊</v>
      </c>
      <c r="E187" s="8" t="str">
        <f>"男"</f>
        <v>男</v>
      </c>
      <c r="F187" s="8" t="str">
        <f>"1996-03-19"</f>
        <v>1996-03-19</v>
      </c>
      <c r="G187" s="9"/>
    </row>
    <row r="188" spans="1:7" ht="13.5">
      <c r="A188" s="7">
        <v>186</v>
      </c>
      <c r="B188" s="8" t="str">
        <f>"234120200901100507628"</f>
        <v>234120200901100507628</v>
      </c>
      <c r="C188" s="8" t="s">
        <v>8</v>
      </c>
      <c r="D188" s="8" t="str">
        <f>"闫玲红"</f>
        <v>闫玲红</v>
      </c>
      <c r="E188" s="8" t="str">
        <f aca="true" t="shared" si="7" ref="E188:E204">"女"</f>
        <v>女</v>
      </c>
      <c r="F188" s="8" t="str">
        <f>"1995-04-16"</f>
        <v>1995-04-16</v>
      </c>
      <c r="G188" s="9"/>
    </row>
    <row r="189" spans="1:7" ht="13.5">
      <c r="A189" s="7">
        <v>187</v>
      </c>
      <c r="B189" s="8" t="str">
        <f>"234120200901100655631"</f>
        <v>234120200901100655631</v>
      </c>
      <c r="C189" s="8" t="s">
        <v>8</v>
      </c>
      <c r="D189" s="8" t="str">
        <f>"盛玉竹"</f>
        <v>盛玉竹</v>
      </c>
      <c r="E189" s="8" t="str">
        <f t="shared" si="7"/>
        <v>女</v>
      </c>
      <c r="F189" s="8" t="str">
        <f>"1997-09-20"</f>
        <v>1997-09-20</v>
      </c>
      <c r="G189" s="9"/>
    </row>
    <row r="190" spans="1:7" ht="13.5">
      <c r="A190" s="7">
        <v>188</v>
      </c>
      <c r="B190" s="8" t="str">
        <f>"234120200901100702632"</f>
        <v>234120200901100702632</v>
      </c>
      <c r="C190" s="8" t="s">
        <v>8</v>
      </c>
      <c r="D190" s="8" t="str">
        <f>"吴青"</f>
        <v>吴青</v>
      </c>
      <c r="E190" s="8" t="str">
        <f t="shared" si="7"/>
        <v>女</v>
      </c>
      <c r="F190" s="8" t="str">
        <f>"1995-11-25"</f>
        <v>1995-11-25</v>
      </c>
      <c r="G190" s="9"/>
    </row>
    <row r="191" spans="1:7" ht="13.5">
      <c r="A191" s="7">
        <v>189</v>
      </c>
      <c r="B191" s="8" t="str">
        <f>"234120200901101111635"</f>
        <v>234120200901101111635</v>
      </c>
      <c r="C191" s="8" t="s">
        <v>8</v>
      </c>
      <c r="D191" s="8" t="str">
        <f>"罗彦君"</f>
        <v>罗彦君</v>
      </c>
      <c r="E191" s="8" t="str">
        <f t="shared" si="7"/>
        <v>女</v>
      </c>
      <c r="F191" s="8" t="str">
        <f>"1997-08-01"</f>
        <v>1997-08-01</v>
      </c>
      <c r="G191" s="9"/>
    </row>
    <row r="192" spans="1:7" ht="13.5">
      <c r="A192" s="7">
        <v>190</v>
      </c>
      <c r="B192" s="8" t="str">
        <f>"234120200901101642637"</f>
        <v>234120200901101642637</v>
      </c>
      <c r="C192" s="8" t="s">
        <v>8</v>
      </c>
      <c r="D192" s="8" t="str">
        <f>"洪敏"</f>
        <v>洪敏</v>
      </c>
      <c r="E192" s="8" t="str">
        <f t="shared" si="7"/>
        <v>女</v>
      </c>
      <c r="F192" s="8" t="str">
        <f>"1997-09-10"</f>
        <v>1997-09-10</v>
      </c>
      <c r="G192" s="9"/>
    </row>
    <row r="193" spans="1:7" ht="13.5">
      <c r="A193" s="7">
        <v>191</v>
      </c>
      <c r="B193" s="8" t="str">
        <f>"234120200901101913639"</f>
        <v>234120200901101913639</v>
      </c>
      <c r="C193" s="8" t="s">
        <v>8</v>
      </c>
      <c r="D193" s="8" t="str">
        <f>"潘宜慧"</f>
        <v>潘宜慧</v>
      </c>
      <c r="E193" s="8" t="str">
        <f t="shared" si="7"/>
        <v>女</v>
      </c>
      <c r="F193" s="8" t="str">
        <f>"1998-10-16"</f>
        <v>1998-10-16</v>
      </c>
      <c r="G193" s="9"/>
    </row>
    <row r="194" spans="1:7" ht="13.5">
      <c r="A194" s="7">
        <v>192</v>
      </c>
      <c r="B194" s="8" t="str">
        <f>"234120200901102551646"</f>
        <v>234120200901102551646</v>
      </c>
      <c r="C194" s="8" t="s">
        <v>8</v>
      </c>
      <c r="D194" s="8" t="str">
        <f>"符春草"</f>
        <v>符春草</v>
      </c>
      <c r="E194" s="8" t="str">
        <f t="shared" si="7"/>
        <v>女</v>
      </c>
      <c r="F194" s="8" t="str">
        <f>"1997-07-11"</f>
        <v>1997-07-11</v>
      </c>
      <c r="G194" s="9"/>
    </row>
    <row r="195" spans="1:7" ht="13.5">
      <c r="A195" s="7">
        <v>193</v>
      </c>
      <c r="B195" s="8" t="str">
        <f>"234120200901102602647"</f>
        <v>234120200901102602647</v>
      </c>
      <c r="C195" s="8" t="s">
        <v>8</v>
      </c>
      <c r="D195" s="8" t="str">
        <f>"彭舒凤"</f>
        <v>彭舒凤</v>
      </c>
      <c r="E195" s="8" t="str">
        <f t="shared" si="7"/>
        <v>女</v>
      </c>
      <c r="F195" s="8" t="str">
        <f>"1995-01-25"</f>
        <v>1995-01-25</v>
      </c>
      <c r="G195" s="9"/>
    </row>
    <row r="196" spans="1:7" ht="13.5">
      <c r="A196" s="7">
        <v>194</v>
      </c>
      <c r="B196" s="8" t="str">
        <f>"234120200901102820650"</f>
        <v>234120200901102820650</v>
      </c>
      <c r="C196" s="8" t="s">
        <v>8</v>
      </c>
      <c r="D196" s="8" t="str">
        <f>"梁艺"</f>
        <v>梁艺</v>
      </c>
      <c r="E196" s="8" t="str">
        <f t="shared" si="7"/>
        <v>女</v>
      </c>
      <c r="F196" s="8" t="str">
        <f>"1991-10-01"</f>
        <v>1991-10-01</v>
      </c>
      <c r="G196" s="9"/>
    </row>
    <row r="197" spans="1:7" ht="13.5">
      <c r="A197" s="7">
        <v>195</v>
      </c>
      <c r="B197" s="8" t="str">
        <f>"234120200901103109654"</f>
        <v>234120200901103109654</v>
      </c>
      <c r="C197" s="8" t="s">
        <v>8</v>
      </c>
      <c r="D197" s="8" t="str">
        <f>"林玉霞"</f>
        <v>林玉霞</v>
      </c>
      <c r="E197" s="8" t="str">
        <f t="shared" si="7"/>
        <v>女</v>
      </c>
      <c r="F197" s="8" t="str">
        <f>"1998-07-19"</f>
        <v>1998-07-19</v>
      </c>
      <c r="G197" s="9"/>
    </row>
    <row r="198" spans="1:7" ht="13.5">
      <c r="A198" s="7">
        <v>196</v>
      </c>
      <c r="B198" s="8" t="str">
        <f>"234120200901104922663"</f>
        <v>234120200901104922663</v>
      </c>
      <c r="C198" s="8" t="s">
        <v>8</v>
      </c>
      <c r="D198" s="8" t="str">
        <f>"袁婵"</f>
        <v>袁婵</v>
      </c>
      <c r="E198" s="8" t="str">
        <f t="shared" si="7"/>
        <v>女</v>
      </c>
      <c r="F198" s="8" t="str">
        <f>"1997-12-02"</f>
        <v>1997-12-02</v>
      </c>
      <c r="G198" s="9"/>
    </row>
    <row r="199" spans="1:7" ht="13.5">
      <c r="A199" s="7">
        <v>197</v>
      </c>
      <c r="B199" s="8" t="str">
        <f>"234120200901105047666"</f>
        <v>234120200901105047666</v>
      </c>
      <c r="C199" s="8" t="s">
        <v>8</v>
      </c>
      <c r="D199" s="8" t="str">
        <f>"陈婉莹"</f>
        <v>陈婉莹</v>
      </c>
      <c r="E199" s="8" t="str">
        <f t="shared" si="7"/>
        <v>女</v>
      </c>
      <c r="F199" s="8" t="str">
        <f>"1998-01-10"</f>
        <v>1998-01-10</v>
      </c>
      <c r="G199" s="9"/>
    </row>
    <row r="200" spans="1:7" ht="13.5">
      <c r="A200" s="7">
        <v>198</v>
      </c>
      <c r="B200" s="8" t="str">
        <f>"234120200901105911671"</f>
        <v>234120200901105911671</v>
      </c>
      <c r="C200" s="8" t="s">
        <v>8</v>
      </c>
      <c r="D200" s="8" t="str">
        <f>"陈小娜"</f>
        <v>陈小娜</v>
      </c>
      <c r="E200" s="8" t="str">
        <f t="shared" si="7"/>
        <v>女</v>
      </c>
      <c r="F200" s="8" t="str">
        <f>"1991-12-18"</f>
        <v>1991-12-18</v>
      </c>
      <c r="G200" s="9"/>
    </row>
    <row r="201" spans="1:7" ht="13.5">
      <c r="A201" s="7">
        <v>199</v>
      </c>
      <c r="B201" s="8" t="str">
        <f>"234120200901111745684"</f>
        <v>234120200901111745684</v>
      </c>
      <c r="C201" s="8" t="s">
        <v>8</v>
      </c>
      <c r="D201" s="8" t="str">
        <f>"王成佳"</f>
        <v>王成佳</v>
      </c>
      <c r="E201" s="8" t="str">
        <f t="shared" si="7"/>
        <v>女</v>
      </c>
      <c r="F201" s="8" t="str">
        <f>"1997-10-24"</f>
        <v>1997-10-24</v>
      </c>
      <c r="G201" s="9"/>
    </row>
    <row r="202" spans="1:7" ht="13.5">
      <c r="A202" s="7">
        <v>200</v>
      </c>
      <c r="B202" s="8" t="str">
        <f>"234120200901112802689"</f>
        <v>234120200901112802689</v>
      </c>
      <c r="C202" s="8" t="s">
        <v>8</v>
      </c>
      <c r="D202" s="8" t="str">
        <f>"陈爱玉"</f>
        <v>陈爱玉</v>
      </c>
      <c r="E202" s="8" t="str">
        <f t="shared" si="7"/>
        <v>女</v>
      </c>
      <c r="F202" s="8" t="str">
        <f>"1993-11-19"</f>
        <v>1993-11-19</v>
      </c>
      <c r="G202" s="9"/>
    </row>
    <row r="203" spans="1:7" ht="13.5">
      <c r="A203" s="7">
        <v>201</v>
      </c>
      <c r="B203" s="8" t="str">
        <f>"234120200901113428692"</f>
        <v>234120200901113428692</v>
      </c>
      <c r="C203" s="8" t="s">
        <v>8</v>
      </c>
      <c r="D203" s="8" t="str">
        <f>"黎春苗"</f>
        <v>黎春苗</v>
      </c>
      <c r="E203" s="8" t="str">
        <f t="shared" si="7"/>
        <v>女</v>
      </c>
      <c r="F203" s="8" t="str">
        <f>"1996-02-28"</f>
        <v>1996-02-28</v>
      </c>
      <c r="G203" s="9"/>
    </row>
    <row r="204" spans="1:7" ht="13.5">
      <c r="A204" s="7">
        <v>202</v>
      </c>
      <c r="B204" s="8" t="str">
        <f>"234120200901114319696"</f>
        <v>234120200901114319696</v>
      </c>
      <c r="C204" s="8" t="s">
        <v>8</v>
      </c>
      <c r="D204" s="8" t="str">
        <f>"周艳颜"</f>
        <v>周艳颜</v>
      </c>
      <c r="E204" s="8" t="str">
        <f t="shared" si="7"/>
        <v>女</v>
      </c>
      <c r="F204" s="8" t="str">
        <f>"1986-07-25"</f>
        <v>1986-07-25</v>
      </c>
      <c r="G204" s="9"/>
    </row>
    <row r="205" spans="1:7" ht="13.5">
      <c r="A205" s="7">
        <v>203</v>
      </c>
      <c r="B205" s="8" t="str">
        <f>"234120200901114634699"</f>
        <v>234120200901114634699</v>
      </c>
      <c r="C205" s="8" t="s">
        <v>8</v>
      </c>
      <c r="D205" s="8" t="str">
        <f>"钟运权"</f>
        <v>钟运权</v>
      </c>
      <c r="E205" s="8" t="str">
        <f>"男"</f>
        <v>男</v>
      </c>
      <c r="F205" s="8" t="str">
        <f>"1992-09-11"</f>
        <v>1992-09-11</v>
      </c>
      <c r="G205" s="9"/>
    </row>
    <row r="206" spans="1:7" ht="13.5">
      <c r="A206" s="7">
        <v>204</v>
      </c>
      <c r="B206" s="8" t="str">
        <f>"234120200901120357703"</f>
        <v>234120200901120357703</v>
      </c>
      <c r="C206" s="8" t="s">
        <v>8</v>
      </c>
      <c r="D206" s="8" t="str">
        <f>"文倩"</f>
        <v>文倩</v>
      </c>
      <c r="E206" s="8" t="str">
        <f aca="true" t="shared" si="8" ref="E206:E239">"女"</f>
        <v>女</v>
      </c>
      <c r="F206" s="8" t="str">
        <f>"1997-12-22"</f>
        <v>1997-12-22</v>
      </c>
      <c r="G206" s="9"/>
    </row>
    <row r="207" spans="1:7" ht="13.5">
      <c r="A207" s="7">
        <v>205</v>
      </c>
      <c r="B207" s="8" t="str">
        <f>"234120200901120545704"</f>
        <v>234120200901120545704</v>
      </c>
      <c r="C207" s="8" t="s">
        <v>8</v>
      </c>
      <c r="D207" s="8" t="str">
        <f>"邢高雅"</f>
        <v>邢高雅</v>
      </c>
      <c r="E207" s="8" t="str">
        <f t="shared" si="8"/>
        <v>女</v>
      </c>
      <c r="F207" s="8" t="str">
        <f>"1994-07-28"</f>
        <v>1994-07-28</v>
      </c>
      <c r="G207" s="9"/>
    </row>
    <row r="208" spans="1:7" ht="13.5">
      <c r="A208" s="7">
        <v>206</v>
      </c>
      <c r="B208" s="8" t="str">
        <f>"234120200901120800705"</f>
        <v>234120200901120800705</v>
      </c>
      <c r="C208" s="8" t="s">
        <v>8</v>
      </c>
      <c r="D208" s="8" t="str">
        <f>"刘海霞"</f>
        <v>刘海霞</v>
      </c>
      <c r="E208" s="8" t="str">
        <f t="shared" si="8"/>
        <v>女</v>
      </c>
      <c r="F208" s="8" t="str">
        <f>"1996-11-27"</f>
        <v>1996-11-27</v>
      </c>
      <c r="G208" s="9"/>
    </row>
    <row r="209" spans="1:7" ht="13.5">
      <c r="A209" s="7">
        <v>207</v>
      </c>
      <c r="B209" s="8" t="str">
        <f>"234120200901121314706"</f>
        <v>234120200901121314706</v>
      </c>
      <c r="C209" s="8" t="s">
        <v>8</v>
      </c>
      <c r="D209" s="8" t="str">
        <f>"黄子苗"</f>
        <v>黄子苗</v>
      </c>
      <c r="E209" s="8" t="str">
        <f t="shared" si="8"/>
        <v>女</v>
      </c>
      <c r="F209" s="8" t="str">
        <f>"1998-05-15"</f>
        <v>1998-05-15</v>
      </c>
      <c r="G209" s="9"/>
    </row>
    <row r="210" spans="1:7" ht="13.5">
      <c r="A210" s="7">
        <v>208</v>
      </c>
      <c r="B210" s="8" t="str">
        <f>"234120200901121701709"</f>
        <v>234120200901121701709</v>
      </c>
      <c r="C210" s="8" t="s">
        <v>8</v>
      </c>
      <c r="D210" s="8" t="str">
        <f>"李月秋"</f>
        <v>李月秋</v>
      </c>
      <c r="E210" s="8" t="str">
        <f t="shared" si="8"/>
        <v>女</v>
      </c>
      <c r="F210" s="8" t="str">
        <f>"1993-08-11"</f>
        <v>1993-08-11</v>
      </c>
      <c r="G210" s="9"/>
    </row>
    <row r="211" spans="1:7" ht="13.5">
      <c r="A211" s="7">
        <v>209</v>
      </c>
      <c r="B211" s="8" t="str">
        <f>"234120200901122645711"</f>
        <v>234120200901122645711</v>
      </c>
      <c r="C211" s="8" t="s">
        <v>8</v>
      </c>
      <c r="D211" s="8" t="str">
        <f>"周冰"</f>
        <v>周冰</v>
      </c>
      <c r="E211" s="8" t="str">
        <f t="shared" si="8"/>
        <v>女</v>
      </c>
      <c r="F211" s="8" t="str">
        <f>"1984-12-14"</f>
        <v>1984-12-14</v>
      </c>
      <c r="G211" s="9"/>
    </row>
    <row r="212" spans="1:7" ht="13.5">
      <c r="A212" s="7">
        <v>210</v>
      </c>
      <c r="B212" s="8" t="str">
        <f>"234120200901122654712"</f>
        <v>234120200901122654712</v>
      </c>
      <c r="C212" s="8" t="s">
        <v>8</v>
      </c>
      <c r="D212" s="8" t="str">
        <f>"羊思思"</f>
        <v>羊思思</v>
      </c>
      <c r="E212" s="8" t="str">
        <f t="shared" si="8"/>
        <v>女</v>
      </c>
      <c r="F212" s="8" t="str">
        <f>"1993-08-10"</f>
        <v>1993-08-10</v>
      </c>
      <c r="G212" s="9"/>
    </row>
    <row r="213" spans="1:7" ht="13.5">
      <c r="A213" s="7">
        <v>211</v>
      </c>
      <c r="B213" s="8" t="str">
        <f>"234120200901123344716"</f>
        <v>234120200901123344716</v>
      </c>
      <c r="C213" s="8" t="s">
        <v>8</v>
      </c>
      <c r="D213" s="8" t="str">
        <f>"关长娟"</f>
        <v>关长娟</v>
      </c>
      <c r="E213" s="8" t="str">
        <f t="shared" si="8"/>
        <v>女</v>
      </c>
      <c r="F213" s="8" t="str">
        <f>"1997-10-23"</f>
        <v>1997-10-23</v>
      </c>
      <c r="G213" s="9"/>
    </row>
    <row r="214" spans="1:7" ht="13.5">
      <c r="A214" s="7">
        <v>212</v>
      </c>
      <c r="B214" s="8" t="str">
        <f>"234120200901123455717"</f>
        <v>234120200901123455717</v>
      </c>
      <c r="C214" s="8" t="s">
        <v>8</v>
      </c>
      <c r="D214" s="8" t="str">
        <f>"林佳佳"</f>
        <v>林佳佳</v>
      </c>
      <c r="E214" s="8" t="str">
        <f t="shared" si="8"/>
        <v>女</v>
      </c>
      <c r="F214" s="8" t="str">
        <f>"1990-08-10"</f>
        <v>1990-08-10</v>
      </c>
      <c r="G214" s="9"/>
    </row>
    <row r="215" spans="1:7" ht="13.5">
      <c r="A215" s="7">
        <v>213</v>
      </c>
      <c r="B215" s="8" t="str">
        <f>"234120200901123503718"</f>
        <v>234120200901123503718</v>
      </c>
      <c r="C215" s="8" t="s">
        <v>8</v>
      </c>
      <c r="D215" s="8" t="str">
        <f>"李珏桦"</f>
        <v>李珏桦</v>
      </c>
      <c r="E215" s="8" t="str">
        <f t="shared" si="8"/>
        <v>女</v>
      </c>
      <c r="F215" s="8" t="str">
        <f>"1998-07-17"</f>
        <v>1998-07-17</v>
      </c>
      <c r="G215" s="9"/>
    </row>
    <row r="216" spans="1:7" ht="13.5">
      <c r="A216" s="7">
        <v>214</v>
      </c>
      <c r="B216" s="8" t="str">
        <f>"234120200901123724720"</f>
        <v>234120200901123724720</v>
      </c>
      <c r="C216" s="8" t="s">
        <v>8</v>
      </c>
      <c r="D216" s="8" t="str">
        <f>"陈清柳"</f>
        <v>陈清柳</v>
      </c>
      <c r="E216" s="8" t="str">
        <f t="shared" si="8"/>
        <v>女</v>
      </c>
      <c r="F216" s="8" t="str">
        <f>"1996-11-14"</f>
        <v>1996-11-14</v>
      </c>
      <c r="G216" s="9"/>
    </row>
    <row r="217" spans="1:7" ht="13.5">
      <c r="A217" s="7">
        <v>215</v>
      </c>
      <c r="B217" s="8" t="str">
        <f>"234120200901125637724"</f>
        <v>234120200901125637724</v>
      </c>
      <c r="C217" s="8" t="s">
        <v>8</v>
      </c>
      <c r="D217" s="8" t="str">
        <f>"郑雪君"</f>
        <v>郑雪君</v>
      </c>
      <c r="E217" s="8" t="str">
        <f t="shared" si="8"/>
        <v>女</v>
      </c>
      <c r="F217" s="8" t="str">
        <f>"1994-07-23"</f>
        <v>1994-07-23</v>
      </c>
      <c r="G217" s="9"/>
    </row>
    <row r="218" spans="1:7" ht="13.5">
      <c r="A218" s="7">
        <v>216</v>
      </c>
      <c r="B218" s="8" t="str">
        <f>"234120200901130405727"</f>
        <v>234120200901130405727</v>
      </c>
      <c r="C218" s="8" t="s">
        <v>8</v>
      </c>
      <c r="D218" s="8" t="str">
        <f>"林女娟"</f>
        <v>林女娟</v>
      </c>
      <c r="E218" s="8" t="str">
        <f t="shared" si="8"/>
        <v>女</v>
      </c>
      <c r="F218" s="8" t="str">
        <f>"1991-04-11"</f>
        <v>1991-04-11</v>
      </c>
      <c r="G218" s="9"/>
    </row>
    <row r="219" spans="1:7" ht="13.5">
      <c r="A219" s="7">
        <v>217</v>
      </c>
      <c r="B219" s="8" t="str">
        <f>"234120200901133259732"</f>
        <v>234120200901133259732</v>
      </c>
      <c r="C219" s="8" t="s">
        <v>8</v>
      </c>
      <c r="D219" s="8" t="str">
        <f>"陈重元"</f>
        <v>陈重元</v>
      </c>
      <c r="E219" s="8" t="str">
        <f t="shared" si="8"/>
        <v>女</v>
      </c>
      <c r="F219" s="8" t="str">
        <f>"1998-08-19"</f>
        <v>1998-08-19</v>
      </c>
      <c r="G219" s="9"/>
    </row>
    <row r="220" spans="1:7" ht="13.5">
      <c r="A220" s="7">
        <v>218</v>
      </c>
      <c r="B220" s="8" t="str">
        <f>"234120200901135225738"</f>
        <v>234120200901135225738</v>
      </c>
      <c r="C220" s="8" t="s">
        <v>8</v>
      </c>
      <c r="D220" s="8" t="str">
        <f>"周怡帆"</f>
        <v>周怡帆</v>
      </c>
      <c r="E220" s="8" t="str">
        <f t="shared" si="8"/>
        <v>女</v>
      </c>
      <c r="F220" s="8" t="str">
        <f>"1996-04-05"</f>
        <v>1996-04-05</v>
      </c>
      <c r="G220" s="9"/>
    </row>
    <row r="221" spans="1:7" ht="13.5">
      <c r="A221" s="7">
        <v>219</v>
      </c>
      <c r="B221" s="8" t="str">
        <f>"234120200901135312739"</f>
        <v>234120200901135312739</v>
      </c>
      <c r="C221" s="8" t="s">
        <v>8</v>
      </c>
      <c r="D221" s="8" t="str">
        <f>"林贵月"</f>
        <v>林贵月</v>
      </c>
      <c r="E221" s="8" t="str">
        <f t="shared" si="8"/>
        <v>女</v>
      </c>
      <c r="F221" s="8" t="str">
        <f>"1995-08-24"</f>
        <v>1995-08-24</v>
      </c>
      <c r="G221" s="9"/>
    </row>
    <row r="222" spans="1:7" ht="13.5">
      <c r="A222" s="7">
        <v>220</v>
      </c>
      <c r="B222" s="8" t="str">
        <f>"234120200901140327742"</f>
        <v>234120200901140327742</v>
      </c>
      <c r="C222" s="8" t="s">
        <v>8</v>
      </c>
      <c r="D222" s="8" t="str">
        <f>"叶紫佳"</f>
        <v>叶紫佳</v>
      </c>
      <c r="E222" s="8" t="str">
        <f t="shared" si="8"/>
        <v>女</v>
      </c>
      <c r="F222" s="8" t="str">
        <f>"1992-05-20"</f>
        <v>1992-05-20</v>
      </c>
      <c r="G222" s="9"/>
    </row>
    <row r="223" spans="1:7" ht="13.5">
      <c r="A223" s="7">
        <v>221</v>
      </c>
      <c r="B223" s="8" t="str">
        <f>"234120200901140354743"</f>
        <v>234120200901140354743</v>
      </c>
      <c r="C223" s="8" t="s">
        <v>8</v>
      </c>
      <c r="D223" s="8" t="str">
        <f>"姚丽"</f>
        <v>姚丽</v>
      </c>
      <c r="E223" s="8" t="str">
        <f t="shared" si="8"/>
        <v>女</v>
      </c>
      <c r="F223" s="8" t="str">
        <f>"1996-05-28"</f>
        <v>1996-05-28</v>
      </c>
      <c r="G223" s="9"/>
    </row>
    <row r="224" spans="1:7" ht="13.5">
      <c r="A224" s="7">
        <v>222</v>
      </c>
      <c r="B224" s="8" t="str">
        <f>"234120200901141421744"</f>
        <v>234120200901141421744</v>
      </c>
      <c r="C224" s="8" t="s">
        <v>8</v>
      </c>
      <c r="D224" s="8" t="str">
        <f>"张彩茜"</f>
        <v>张彩茜</v>
      </c>
      <c r="E224" s="8" t="str">
        <f t="shared" si="8"/>
        <v>女</v>
      </c>
      <c r="F224" s="8" t="str">
        <f>"1990-08-18"</f>
        <v>1990-08-18</v>
      </c>
      <c r="G224" s="9"/>
    </row>
    <row r="225" spans="1:7" ht="13.5">
      <c r="A225" s="7">
        <v>223</v>
      </c>
      <c r="B225" s="8" t="str">
        <f>"234120200901142831748"</f>
        <v>234120200901142831748</v>
      </c>
      <c r="C225" s="8" t="s">
        <v>8</v>
      </c>
      <c r="D225" s="8" t="str">
        <f>"沈瑾瑜"</f>
        <v>沈瑾瑜</v>
      </c>
      <c r="E225" s="8" t="str">
        <f t="shared" si="8"/>
        <v>女</v>
      </c>
      <c r="F225" s="8" t="str">
        <f>"1995-09-30"</f>
        <v>1995-09-30</v>
      </c>
      <c r="G225" s="9"/>
    </row>
    <row r="226" spans="1:7" ht="13.5">
      <c r="A226" s="7">
        <v>224</v>
      </c>
      <c r="B226" s="8" t="str">
        <f>"234120200901142906749"</f>
        <v>234120200901142906749</v>
      </c>
      <c r="C226" s="8" t="s">
        <v>8</v>
      </c>
      <c r="D226" s="8" t="str">
        <f>"彭浩欢"</f>
        <v>彭浩欢</v>
      </c>
      <c r="E226" s="8" t="str">
        <f t="shared" si="8"/>
        <v>女</v>
      </c>
      <c r="F226" s="8" t="str">
        <f>"1995-01-01"</f>
        <v>1995-01-01</v>
      </c>
      <c r="G226" s="9"/>
    </row>
    <row r="227" spans="1:7" ht="13.5">
      <c r="A227" s="7">
        <v>225</v>
      </c>
      <c r="B227" s="8" t="str">
        <f>"234120200901144047753"</f>
        <v>234120200901144047753</v>
      </c>
      <c r="C227" s="8" t="s">
        <v>8</v>
      </c>
      <c r="D227" s="8" t="str">
        <f>"钟国虹"</f>
        <v>钟国虹</v>
      </c>
      <c r="E227" s="8" t="str">
        <f t="shared" si="8"/>
        <v>女</v>
      </c>
      <c r="F227" s="8" t="str">
        <f>"1992-06-24"</f>
        <v>1992-06-24</v>
      </c>
      <c r="G227" s="9"/>
    </row>
    <row r="228" spans="1:7" ht="13.5">
      <c r="A228" s="7">
        <v>226</v>
      </c>
      <c r="B228" s="8" t="str">
        <f>"234120200901145653762"</f>
        <v>234120200901145653762</v>
      </c>
      <c r="C228" s="8" t="s">
        <v>8</v>
      </c>
      <c r="D228" s="8" t="str">
        <f>"王思璎"</f>
        <v>王思璎</v>
      </c>
      <c r="E228" s="8" t="str">
        <f t="shared" si="8"/>
        <v>女</v>
      </c>
      <c r="F228" s="8" t="str">
        <f>"1997-01-21"</f>
        <v>1997-01-21</v>
      </c>
      <c r="G228" s="9"/>
    </row>
    <row r="229" spans="1:7" ht="13.5">
      <c r="A229" s="7">
        <v>227</v>
      </c>
      <c r="B229" s="8" t="str">
        <f>"234120200901151741766"</f>
        <v>234120200901151741766</v>
      </c>
      <c r="C229" s="8" t="s">
        <v>8</v>
      </c>
      <c r="D229" s="8" t="str">
        <f>"林芳珍"</f>
        <v>林芳珍</v>
      </c>
      <c r="E229" s="8" t="str">
        <f t="shared" si="8"/>
        <v>女</v>
      </c>
      <c r="F229" s="8" t="str">
        <f>"1994-03-08"</f>
        <v>1994-03-08</v>
      </c>
      <c r="G229" s="9"/>
    </row>
    <row r="230" spans="1:7" ht="13.5">
      <c r="A230" s="7">
        <v>228</v>
      </c>
      <c r="B230" s="8" t="str">
        <f>"234120200901151848767"</f>
        <v>234120200901151848767</v>
      </c>
      <c r="C230" s="8" t="s">
        <v>8</v>
      </c>
      <c r="D230" s="8" t="str">
        <f>"刘玉云"</f>
        <v>刘玉云</v>
      </c>
      <c r="E230" s="8" t="str">
        <f t="shared" si="8"/>
        <v>女</v>
      </c>
      <c r="F230" s="8" t="str">
        <f>"1991-09-27"</f>
        <v>1991-09-27</v>
      </c>
      <c r="G230" s="9"/>
    </row>
    <row r="231" spans="1:7" ht="13.5">
      <c r="A231" s="7">
        <v>229</v>
      </c>
      <c r="B231" s="8" t="str">
        <f>"234120200901152455768"</f>
        <v>234120200901152455768</v>
      </c>
      <c r="C231" s="8" t="s">
        <v>8</v>
      </c>
      <c r="D231" s="8" t="str">
        <f>"方妍"</f>
        <v>方妍</v>
      </c>
      <c r="E231" s="8" t="str">
        <f t="shared" si="8"/>
        <v>女</v>
      </c>
      <c r="F231" s="8" t="str">
        <f>"1997-05-15"</f>
        <v>1997-05-15</v>
      </c>
      <c r="G231" s="9"/>
    </row>
    <row r="232" spans="1:7" ht="13.5">
      <c r="A232" s="7">
        <v>230</v>
      </c>
      <c r="B232" s="8" t="str">
        <f>"234120200901153536771"</f>
        <v>234120200901153536771</v>
      </c>
      <c r="C232" s="8" t="s">
        <v>8</v>
      </c>
      <c r="D232" s="8" t="str">
        <f>"李明惠"</f>
        <v>李明惠</v>
      </c>
      <c r="E232" s="8" t="str">
        <f t="shared" si="8"/>
        <v>女</v>
      </c>
      <c r="F232" s="8" t="str">
        <f>"1996-11-26"</f>
        <v>1996-11-26</v>
      </c>
      <c r="G232" s="9"/>
    </row>
    <row r="233" spans="1:7" ht="13.5">
      <c r="A233" s="7">
        <v>231</v>
      </c>
      <c r="B233" s="8" t="str">
        <f>"234120200901154705777"</f>
        <v>234120200901154705777</v>
      </c>
      <c r="C233" s="8" t="s">
        <v>8</v>
      </c>
      <c r="D233" s="8" t="str">
        <f>"覃小视"</f>
        <v>覃小视</v>
      </c>
      <c r="E233" s="8" t="str">
        <f t="shared" si="8"/>
        <v>女</v>
      </c>
      <c r="F233" s="8" t="str">
        <f>"1996-06-24"</f>
        <v>1996-06-24</v>
      </c>
      <c r="G233" s="9"/>
    </row>
    <row r="234" spans="1:7" ht="13.5">
      <c r="A234" s="7">
        <v>232</v>
      </c>
      <c r="B234" s="8" t="str">
        <f>"234120200901155838780"</f>
        <v>234120200901155838780</v>
      </c>
      <c r="C234" s="8" t="s">
        <v>8</v>
      </c>
      <c r="D234" s="8" t="str">
        <f>"李跃琨"</f>
        <v>李跃琨</v>
      </c>
      <c r="E234" s="8" t="str">
        <f t="shared" si="8"/>
        <v>女</v>
      </c>
      <c r="F234" s="8" t="str">
        <f>"1995-09-06"</f>
        <v>1995-09-06</v>
      </c>
      <c r="G234" s="9"/>
    </row>
    <row r="235" spans="1:7" ht="13.5">
      <c r="A235" s="7">
        <v>233</v>
      </c>
      <c r="B235" s="8" t="str">
        <f>"234120200901160009782"</f>
        <v>234120200901160009782</v>
      </c>
      <c r="C235" s="8" t="s">
        <v>8</v>
      </c>
      <c r="D235" s="8" t="str">
        <f>"黄文凤"</f>
        <v>黄文凤</v>
      </c>
      <c r="E235" s="8" t="str">
        <f t="shared" si="8"/>
        <v>女</v>
      </c>
      <c r="F235" s="8" t="str">
        <f>"1991-10-17"</f>
        <v>1991-10-17</v>
      </c>
      <c r="G235" s="9"/>
    </row>
    <row r="236" spans="1:7" ht="13.5">
      <c r="A236" s="7">
        <v>234</v>
      </c>
      <c r="B236" s="8" t="str">
        <f>"234120200901161606789"</f>
        <v>234120200901161606789</v>
      </c>
      <c r="C236" s="8" t="s">
        <v>8</v>
      </c>
      <c r="D236" s="8" t="str">
        <f>"田卫平"</f>
        <v>田卫平</v>
      </c>
      <c r="E236" s="8" t="str">
        <f t="shared" si="8"/>
        <v>女</v>
      </c>
      <c r="F236" s="8" t="str">
        <f>"1987-11-24"</f>
        <v>1987-11-24</v>
      </c>
      <c r="G236" s="9"/>
    </row>
    <row r="237" spans="1:7" ht="13.5">
      <c r="A237" s="7">
        <v>235</v>
      </c>
      <c r="B237" s="8" t="str">
        <f>"234120200901162516796"</f>
        <v>234120200901162516796</v>
      </c>
      <c r="C237" s="8" t="s">
        <v>8</v>
      </c>
      <c r="D237" s="8" t="str">
        <f>"欧阳琳"</f>
        <v>欧阳琳</v>
      </c>
      <c r="E237" s="8" t="str">
        <f t="shared" si="8"/>
        <v>女</v>
      </c>
      <c r="F237" s="8" t="str">
        <f>"1996-03-19"</f>
        <v>1996-03-19</v>
      </c>
      <c r="G237" s="9"/>
    </row>
    <row r="238" spans="1:7" ht="13.5">
      <c r="A238" s="7">
        <v>236</v>
      </c>
      <c r="B238" s="8" t="str">
        <f>"234120200901162613798"</f>
        <v>234120200901162613798</v>
      </c>
      <c r="C238" s="8" t="s">
        <v>8</v>
      </c>
      <c r="D238" s="8" t="str">
        <f>"王素华"</f>
        <v>王素华</v>
      </c>
      <c r="E238" s="8" t="str">
        <f t="shared" si="8"/>
        <v>女</v>
      </c>
      <c r="F238" s="8" t="str">
        <f>"1994-08-25"</f>
        <v>1994-08-25</v>
      </c>
      <c r="G238" s="9"/>
    </row>
    <row r="239" spans="1:7" ht="13.5">
      <c r="A239" s="7">
        <v>237</v>
      </c>
      <c r="B239" s="8" t="str">
        <f>"234120200901163429802"</f>
        <v>234120200901163429802</v>
      </c>
      <c r="C239" s="8" t="s">
        <v>8</v>
      </c>
      <c r="D239" s="8" t="str">
        <f>"黄丹"</f>
        <v>黄丹</v>
      </c>
      <c r="E239" s="8" t="str">
        <f t="shared" si="8"/>
        <v>女</v>
      </c>
      <c r="F239" s="8" t="str">
        <f>"1994-10-04"</f>
        <v>1994-10-04</v>
      </c>
      <c r="G239" s="9"/>
    </row>
    <row r="240" spans="1:7" ht="13.5">
      <c r="A240" s="7">
        <v>238</v>
      </c>
      <c r="B240" s="8" t="str">
        <f>"234120200901163837805"</f>
        <v>234120200901163837805</v>
      </c>
      <c r="C240" s="8" t="s">
        <v>8</v>
      </c>
      <c r="D240" s="8" t="str">
        <f>"吴勰勰"</f>
        <v>吴勰勰</v>
      </c>
      <c r="E240" s="8" t="str">
        <f>"男"</f>
        <v>男</v>
      </c>
      <c r="F240" s="8" t="str">
        <f>"1989-10-13"</f>
        <v>1989-10-13</v>
      </c>
      <c r="G240" s="9"/>
    </row>
    <row r="241" spans="1:7" ht="13.5">
      <c r="A241" s="7">
        <v>239</v>
      </c>
      <c r="B241" s="8" t="str">
        <f>"234120200901165434809"</f>
        <v>234120200901165434809</v>
      </c>
      <c r="C241" s="8" t="s">
        <v>8</v>
      </c>
      <c r="D241" s="8" t="str">
        <f>"郑子歆"</f>
        <v>郑子歆</v>
      </c>
      <c r="E241" s="8" t="str">
        <f aca="true" t="shared" si="9" ref="E241:E250">"女"</f>
        <v>女</v>
      </c>
      <c r="F241" s="8" t="str">
        <f>"1992-07-06"</f>
        <v>1992-07-06</v>
      </c>
      <c r="G241" s="9"/>
    </row>
    <row r="242" spans="1:7" ht="13.5">
      <c r="A242" s="7">
        <v>240</v>
      </c>
      <c r="B242" s="8" t="str">
        <f>"234120200901170028812"</f>
        <v>234120200901170028812</v>
      </c>
      <c r="C242" s="8" t="s">
        <v>8</v>
      </c>
      <c r="D242" s="8" t="str">
        <f>"何晓玲"</f>
        <v>何晓玲</v>
      </c>
      <c r="E242" s="8" t="str">
        <f t="shared" si="9"/>
        <v>女</v>
      </c>
      <c r="F242" s="8" t="str">
        <f>"1996-04-10"</f>
        <v>1996-04-10</v>
      </c>
      <c r="G242" s="9"/>
    </row>
    <row r="243" spans="1:7" ht="13.5">
      <c r="A243" s="7">
        <v>241</v>
      </c>
      <c r="B243" s="8" t="str">
        <f>"234120200901170112814"</f>
        <v>234120200901170112814</v>
      </c>
      <c r="C243" s="8" t="s">
        <v>8</v>
      </c>
      <c r="D243" s="8" t="str">
        <f>"蓝晶晶"</f>
        <v>蓝晶晶</v>
      </c>
      <c r="E243" s="8" t="str">
        <f t="shared" si="9"/>
        <v>女</v>
      </c>
      <c r="F243" s="8" t="str">
        <f>"1994-11-06"</f>
        <v>1994-11-06</v>
      </c>
      <c r="G243" s="9"/>
    </row>
    <row r="244" spans="1:7" ht="13.5">
      <c r="A244" s="7">
        <v>242</v>
      </c>
      <c r="B244" s="8" t="str">
        <f>"234120200901171432817"</f>
        <v>234120200901171432817</v>
      </c>
      <c r="C244" s="8" t="s">
        <v>8</v>
      </c>
      <c r="D244" s="8" t="str">
        <f>"黄垂男"</f>
        <v>黄垂男</v>
      </c>
      <c r="E244" s="8" t="str">
        <f t="shared" si="9"/>
        <v>女</v>
      </c>
      <c r="F244" s="8" t="str">
        <f>"1991-08-23"</f>
        <v>1991-08-23</v>
      </c>
      <c r="G244" s="9"/>
    </row>
    <row r="245" spans="1:7" ht="13.5">
      <c r="A245" s="7">
        <v>243</v>
      </c>
      <c r="B245" s="8" t="str">
        <f>"234120200901171641819"</f>
        <v>234120200901171641819</v>
      </c>
      <c r="C245" s="8" t="s">
        <v>8</v>
      </c>
      <c r="D245" s="8" t="str">
        <f>"张彩瑶"</f>
        <v>张彩瑶</v>
      </c>
      <c r="E245" s="8" t="str">
        <f t="shared" si="9"/>
        <v>女</v>
      </c>
      <c r="F245" s="8" t="str">
        <f>"1996-06-23"</f>
        <v>1996-06-23</v>
      </c>
      <c r="G245" s="9"/>
    </row>
    <row r="246" spans="1:7" ht="13.5">
      <c r="A246" s="7">
        <v>244</v>
      </c>
      <c r="B246" s="8" t="str">
        <f>"234120200901172107822"</f>
        <v>234120200901172107822</v>
      </c>
      <c r="C246" s="8" t="s">
        <v>8</v>
      </c>
      <c r="D246" s="8" t="str">
        <f>"邓林琪"</f>
        <v>邓林琪</v>
      </c>
      <c r="E246" s="8" t="str">
        <f t="shared" si="9"/>
        <v>女</v>
      </c>
      <c r="F246" s="8" t="str">
        <f>"1995-12-01"</f>
        <v>1995-12-01</v>
      </c>
      <c r="G246" s="9"/>
    </row>
    <row r="247" spans="1:7" ht="13.5">
      <c r="A247" s="7">
        <v>245</v>
      </c>
      <c r="B247" s="8" t="str">
        <f>"234120200901172501824"</f>
        <v>234120200901172501824</v>
      </c>
      <c r="C247" s="8" t="s">
        <v>8</v>
      </c>
      <c r="D247" s="8" t="str">
        <f>"熊瑞"</f>
        <v>熊瑞</v>
      </c>
      <c r="E247" s="8" t="str">
        <f t="shared" si="9"/>
        <v>女</v>
      </c>
      <c r="F247" s="8" t="str">
        <f>"1996-07-03"</f>
        <v>1996-07-03</v>
      </c>
      <c r="G247" s="9"/>
    </row>
    <row r="248" spans="1:7" ht="13.5">
      <c r="A248" s="7">
        <v>246</v>
      </c>
      <c r="B248" s="8" t="str">
        <f>"234120200901173337825"</f>
        <v>234120200901173337825</v>
      </c>
      <c r="C248" s="8" t="s">
        <v>8</v>
      </c>
      <c r="D248" s="8" t="str">
        <f>"冼心雅"</f>
        <v>冼心雅</v>
      </c>
      <c r="E248" s="8" t="str">
        <f t="shared" si="9"/>
        <v>女</v>
      </c>
      <c r="F248" s="8" t="str">
        <f>"1994-04-25"</f>
        <v>1994-04-25</v>
      </c>
      <c r="G248" s="9"/>
    </row>
    <row r="249" spans="1:7" ht="13.5">
      <c r="A249" s="7">
        <v>247</v>
      </c>
      <c r="B249" s="8" t="str">
        <f>"234120200901173620826"</f>
        <v>234120200901173620826</v>
      </c>
      <c r="C249" s="8" t="s">
        <v>8</v>
      </c>
      <c r="D249" s="8" t="str">
        <f>"蔡诗娟"</f>
        <v>蔡诗娟</v>
      </c>
      <c r="E249" s="8" t="str">
        <f t="shared" si="9"/>
        <v>女</v>
      </c>
      <c r="F249" s="8" t="str">
        <f>"1993-04-23"</f>
        <v>1993-04-23</v>
      </c>
      <c r="G249" s="9"/>
    </row>
    <row r="250" spans="1:7" ht="13.5">
      <c r="A250" s="7">
        <v>248</v>
      </c>
      <c r="B250" s="8" t="str">
        <f>"234120200901174317828"</f>
        <v>234120200901174317828</v>
      </c>
      <c r="C250" s="8" t="s">
        <v>8</v>
      </c>
      <c r="D250" s="8" t="str">
        <f>"庄海娇"</f>
        <v>庄海娇</v>
      </c>
      <c r="E250" s="8" t="str">
        <f t="shared" si="9"/>
        <v>女</v>
      </c>
      <c r="F250" s="8" t="str">
        <f>"1994-07-09"</f>
        <v>1994-07-09</v>
      </c>
      <c r="G250" s="9"/>
    </row>
    <row r="251" spans="1:7" ht="13.5">
      <c r="A251" s="7">
        <v>249</v>
      </c>
      <c r="B251" s="8" t="str">
        <f>"234120200901175216831"</f>
        <v>234120200901175216831</v>
      </c>
      <c r="C251" s="8" t="s">
        <v>8</v>
      </c>
      <c r="D251" s="8" t="str">
        <f>"刘家伟"</f>
        <v>刘家伟</v>
      </c>
      <c r="E251" s="8" t="str">
        <f>"男"</f>
        <v>男</v>
      </c>
      <c r="F251" s="8" t="str">
        <f>"1997-04-08"</f>
        <v>1997-04-08</v>
      </c>
      <c r="G251" s="9"/>
    </row>
    <row r="252" spans="1:7" ht="13.5">
      <c r="A252" s="7">
        <v>250</v>
      </c>
      <c r="B252" s="8" t="str">
        <f>"234120200901185125844"</f>
        <v>234120200901185125844</v>
      </c>
      <c r="C252" s="8" t="s">
        <v>8</v>
      </c>
      <c r="D252" s="8" t="str">
        <f>"郑春南"</f>
        <v>郑春南</v>
      </c>
      <c r="E252" s="8" t="str">
        <f aca="true" t="shared" si="10" ref="E252:E282">"女"</f>
        <v>女</v>
      </c>
      <c r="F252" s="8" t="str">
        <f>"1988-03-24"</f>
        <v>1988-03-24</v>
      </c>
      <c r="G252" s="9"/>
    </row>
    <row r="253" spans="1:7" ht="13.5">
      <c r="A253" s="7">
        <v>251</v>
      </c>
      <c r="B253" s="8" t="str">
        <f>"234120200901185421846"</f>
        <v>234120200901185421846</v>
      </c>
      <c r="C253" s="8" t="s">
        <v>8</v>
      </c>
      <c r="D253" s="8" t="str">
        <f>"欧丽虹"</f>
        <v>欧丽虹</v>
      </c>
      <c r="E253" s="8" t="str">
        <f t="shared" si="10"/>
        <v>女</v>
      </c>
      <c r="F253" s="8" t="str">
        <f>"1985-08-31"</f>
        <v>1985-08-31</v>
      </c>
      <c r="G253" s="9"/>
    </row>
    <row r="254" spans="1:7" ht="13.5">
      <c r="A254" s="7">
        <v>252</v>
      </c>
      <c r="B254" s="8" t="str">
        <f>"234120200901190428850"</f>
        <v>234120200901190428850</v>
      </c>
      <c r="C254" s="8" t="s">
        <v>8</v>
      </c>
      <c r="D254" s="8" t="str">
        <f>"王莉"</f>
        <v>王莉</v>
      </c>
      <c r="E254" s="8" t="str">
        <f t="shared" si="10"/>
        <v>女</v>
      </c>
      <c r="F254" s="8" t="str">
        <f>"1995-12-26"</f>
        <v>1995-12-26</v>
      </c>
      <c r="G254" s="9"/>
    </row>
    <row r="255" spans="1:7" ht="13.5">
      <c r="A255" s="7">
        <v>253</v>
      </c>
      <c r="B255" s="8" t="str">
        <f>"234120200901192901856"</f>
        <v>234120200901192901856</v>
      </c>
      <c r="C255" s="8" t="s">
        <v>8</v>
      </c>
      <c r="D255" s="8" t="str">
        <f>"吕婷婷"</f>
        <v>吕婷婷</v>
      </c>
      <c r="E255" s="8" t="str">
        <f t="shared" si="10"/>
        <v>女</v>
      </c>
      <c r="F255" s="8" t="str">
        <f>"1987-09-12"</f>
        <v>1987-09-12</v>
      </c>
      <c r="G255" s="9"/>
    </row>
    <row r="256" spans="1:7" ht="13.5">
      <c r="A256" s="7">
        <v>254</v>
      </c>
      <c r="B256" s="8" t="str">
        <f>"234120200901193238858"</f>
        <v>234120200901193238858</v>
      </c>
      <c r="C256" s="8" t="s">
        <v>8</v>
      </c>
      <c r="D256" s="8" t="str">
        <f>"麦明春"</f>
        <v>麦明春</v>
      </c>
      <c r="E256" s="8" t="str">
        <f t="shared" si="10"/>
        <v>女</v>
      </c>
      <c r="F256" s="8" t="str">
        <f>"1988-11-10"</f>
        <v>1988-11-10</v>
      </c>
      <c r="G256" s="9"/>
    </row>
    <row r="257" spans="1:7" ht="13.5">
      <c r="A257" s="7">
        <v>255</v>
      </c>
      <c r="B257" s="8" t="str">
        <f>"234120200901195013861"</f>
        <v>234120200901195013861</v>
      </c>
      <c r="C257" s="8" t="s">
        <v>8</v>
      </c>
      <c r="D257" s="8" t="str">
        <f>"谢燕"</f>
        <v>谢燕</v>
      </c>
      <c r="E257" s="8" t="str">
        <f t="shared" si="10"/>
        <v>女</v>
      </c>
      <c r="F257" s="8" t="str">
        <f>"1990-01-12"</f>
        <v>1990-01-12</v>
      </c>
      <c r="G257" s="9"/>
    </row>
    <row r="258" spans="1:7" ht="13.5">
      <c r="A258" s="7">
        <v>256</v>
      </c>
      <c r="B258" s="8" t="str">
        <f>"234120200901195813863"</f>
        <v>234120200901195813863</v>
      </c>
      <c r="C258" s="8" t="s">
        <v>8</v>
      </c>
      <c r="D258" s="8" t="str">
        <f>"张肇莎"</f>
        <v>张肇莎</v>
      </c>
      <c r="E258" s="8" t="str">
        <f t="shared" si="10"/>
        <v>女</v>
      </c>
      <c r="F258" s="8" t="str">
        <f>"1989-02-15"</f>
        <v>1989-02-15</v>
      </c>
      <c r="G258" s="9"/>
    </row>
    <row r="259" spans="1:7" ht="13.5">
      <c r="A259" s="7">
        <v>257</v>
      </c>
      <c r="B259" s="8" t="str">
        <f>"234120200901200632866"</f>
        <v>234120200901200632866</v>
      </c>
      <c r="C259" s="8" t="s">
        <v>8</v>
      </c>
      <c r="D259" s="8" t="str">
        <f>"陈运妹"</f>
        <v>陈运妹</v>
      </c>
      <c r="E259" s="8" t="str">
        <f t="shared" si="10"/>
        <v>女</v>
      </c>
      <c r="F259" s="8" t="str">
        <f>"1994-08-03"</f>
        <v>1994-08-03</v>
      </c>
      <c r="G259" s="9"/>
    </row>
    <row r="260" spans="1:7" ht="13.5">
      <c r="A260" s="7">
        <v>258</v>
      </c>
      <c r="B260" s="8" t="str">
        <f>"234120200901202618870"</f>
        <v>234120200901202618870</v>
      </c>
      <c r="C260" s="8" t="s">
        <v>8</v>
      </c>
      <c r="D260" s="8" t="str">
        <f>"魏薇薇"</f>
        <v>魏薇薇</v>
      </c>
      <c r="E260" s="8" t="str">
        <f t="shared" si="10"/>
        <v>女</v>
      </c>
      <c r="F260" s="8" t="str">
        <f>"1992-09-06"</f>
        <v>1992-09-06</v>
      </c>
      <c r="G260" s="9"/>
    </row>
    <row r="261" spans="1:7" ht="13.5">
      <c r="A261" s="7">
        <v>259</v>
      </c>
      <c r="B261" s="8" t="str">
        <f>"234120200901203411875"</f>
        <v>234120200901203411875</v>
      </c>
      <c r="C261" s="8" t="s">
        <v>8</v>
      </c>
      <c r="D261" s="8" t="str">
        <f>"陈婆传"</f>
        <v>陈婆传</v>
      </c>
      <c r="E261" s="8" t="str">
        <f t="shared" si="10"/>
        <v>女</v>
      </c>
      <c r="F261" s="8" t="str">
        <f>"1995-09-05"</f>
        <v>1995-09-05</v>
      </c>
      <c r="G261" s="9"/>
    </row>
    <row r="262" spans="1:7" ht="13.5">
      <c r="A262" s="7">
        <v>260</v>
      </c>
      <c r="B262" s="8" t="str">
        <f>"234120200901203616876"</f>
        <v>234120200901203616876</v>
      </c>
      <c r="C262" s="8" t="s">
        <v>8</v>
      </c>
      <c r="D262" s="8" t="str">
        <f>"符彩丽"</f>
        <v>符彩丽</v>
      </c>
      <c r="E262" s="8" t="str">
        <f t="shared" si="10"/>
        <v>女</v>
      </c>
      <c r="F262" s="8" t="str">
        <f>"1995-06-22"</f>
        <v>1995-06-22</v>
      </c>
      <c r="G262" s="9"/>
    </row>
    <row r="263" spans="1:7" ht="13.5">
      <c r="A263" s="7">
        <v>261</v>
      </c>
      <c r="B263" s="8" t="str">
        <f>"234120200901204146877"</f>
        <v>234120200901204146877</v>
      </c>
      <c r="C263" s="8" t="s">
        <v>8</v>
      </c>
      <c r="D263" s="8" t="str">
        <f>"陈佳欣"</f>
        <v>陈佳欣</v>
      </c>
      <c r="E263" s="8" t="str">
        <f t="shared" si="10"/>
        <v>女</v>
      </c>
      <c r="F263" s="8" t="str">
        <f>"1997-09-07"</f>
        <v>1997-09-07</v>
      </c>
      <c r="G263" s="9"/>
    </row>
    <row r="264" spans="1:7" ht="13.5">
      <c r="A264" s="7">
        <v>262</v>
      </c>
      <c r="B264" s="8" t="str">
        <f>"234120200901205217881"</f>
        <v>234120200901205217881</v>
      </c>
      <c r="C264" s="8" t="s">
        <v>8</v>
      </c>
      <c r="D264" s="8" t="str">
        <f>"陈芬"</f>
        <v>陈芬</v>
      </c>
      <c r="E264" s="8" t="str">
        <f t="shared" si="10"/>
        <v>女</v>
      </c>
      <c r="F264" s="8" t="str">
        <f>"1994-07-10"</f>
        <v>1994-07-10</v>
      </c>
      <c r="G264" s="9"/>
    </row>
    <row r="265" spans="1:7" ht="13.5">
      <c r="A265" s="7">
        <v>263</v>
      </c>
      <c r="B265" s="8" t="str">
        <f>"234120200901211426887"</f>
        <v>234120200901211426887</v>
      </c>
      <c r="C265" s="8" t="s">
        <v>8</v>
      </c>
      <c r="D265" s="8" t="str">
        <f>"文精娇"</f>
        <v>文精娇</v>
      </c>
      <c r="E265" s="8" t="str">
        <f t="shared" si="10"/>
        <v>女</v>
      </c>
      <c r="F265" s="8" t="str">
        <f>"1994-12-12"</f>
        <v>1994-12-12</v>
      </c>
      <c r="G265" s="9"/>
    </row>
    <row r="266" spans="1:7" ht="13.5">
      <c r="A266" s="7">
        <v>264</v>
      </c>
      <c r="B266" s="8" t="str">
        <f>"234120200901211831888"</f>
        <v>234120200901211831888</v>
      </c>
      <c r="C266" s="8" t="s">
        <v>8</v>
      </c>
      <c r="D266" s="8" t="str">
        <f>"方晶晶"</f>
        <v>方晶晶</v>
      </c>
      <c r="E266" s="8" t="str">
        <f t="shared" si="10"/>
        <v>女</v>
      </c>
      <c r="F266" s="8" t="str">
        <f>"1996-10-06"</f>
        <v>1996-10-06</v>
      </c>
      <c r="G266" s="9"/>
    </row>
    <row r="267" spans="1:7" ht="13.5">
      <c r="A267" s="7">
        <v>265</v>
      </c>
      <c r="B267" s="8" t="str">
        <f>"234120200901212757891"</f>
        <v>234120200901212757891</v>
      </c>
      <c r="C267" s="8" t="s">
        <v>8</v>
      </c>
      <c r="D267" s="8" t="str">
        <f>"邢顾萍"</f>
        <v>邢顾萍</v>
      </c>
      <c r="E267" s="8" t="str">
        <f t="shared" si="10"/>
        <v>女</v>
      </c>
      <c r="F267" s="8" t="str">
        <f>"1996-08-08"</f>
        <v>1996-08-08</v>
      </c>
      <c r="G267" s="9"/>
    </row>
    <row r="268" spans="1:7" ht="13.5">
      <c r="A268" s="7">
        <v>266</v>
      </c>
      <c r="B268" s="8" t="str">
        <f>"234120200901213437895"</f>
        <v>234120200901213437895</v>
      </c>
      <c r="C268" s="8" t="s">
        <v>8</v>
      </c>
      <c r="D268" s="8" t="str">
        <f>"陈宇驰"</f>
        <v>陈宇驰</v>
      </c>
      <c r="E268" s="8" t="str">
        <f t="shared" si="10"/>
        <v>女</v>
      </c>
      <c r="F268" s="8" t="str">
        <f>"1996-07-20"</f>
        <v>1996-07-20</v>
      </c>
      <c r="G268" s="9"/>
    </row>
    <row r="269" spans="1:7" ht="13.5">
      <c r="A269" s="7">
        <v>267</v>
      </c>
      <c r="B269" s="8" t="str">
        <f>"234120200901215307901"</f>
        <v>234120200901215307901</v>
      </c>
      <c r="C269" s="8" t="s">
        <v>8</v>
      </c>
      <c r="D269" s="8" t="str">
        <f>"李恒舅"</f>
        <v>李恒舅</v>
      </c>
      <c r="E269" s="8" t="str">
        <f t="shared" si="10"/>
        <v>女</v>
      </c>
      <c r="F269" s="8" t="str">
        <f>"1996-10-27"</f>
        <v>1996-10-27</v>
      </c>
      <c r="G269" s="9"/>
    </row>
    <row r="270" spans="1:7" ht="13.5">
      <c r="A270" s="7">
        <v>268</v>
      </c>
      <c r="B270" s="8" t="str">
        <f>"234120200901215442902"</f>
        <v>234120200901215442902</v>
      </c>
      <c r="C270" s="8" t="s">
        <v>8</v>
      </c>
      <c r="D270" s="8" t="str">
        <f>"苏海媚"</f>
        <v>苏海媚</v>
      </c>
      <c r="E270" s="8" t="str">
        <f t="shared" si="10"/>
        <v>女</v>
      </c>
      <c r="F270" s="8" t="str">
        <f>"1997-01-03"</f>
        <v>1997-01-03</v>
      </c>
      <c r="G270" s="9"/>
    </row>
    <row r="271" spans="1:7" ht="13.5">
      <c r="A271" s="7">
        <v>269</v>
      </c>
      <c r="B271" s="8" t="str">
        <f>"234120200901220406907"</f>
        <v>234120200901220406907</v>
      </c>
      <c r="C271" s="8" t="s">
        <v>8</v>
      </c>
      <c r="D271" s="8" t="str">
        <f>"郑佳佳"</f>
        <v>郑佳佳</v>
      </c>
      <c r="E271" s="8" t="str">
        <f t="shared" si="10"/>
        <v>女</v>
      </c>
      <c r="F271" s="8" t="str">
        <f>"1994-07-08"</f>
        <v>1994-07-08</v>
      </c>
      <c r="G271" s="9"/>
    </row>
    <row r="272" spans="1:7" ht="13.5">
      <c r="A272" s="7">
        <v>270</v>
      </c>
      <c r="B272" s="8" t="str">
        <f>"234120200901220832908"</f>
        <v>234120200901220832908</v>
      </c>
      <c r="C272" s="8" t="s">
        <v>8</v>
      </c>
      <c r="D272" s="8" t="str">
        <f>"陈梅"</f>
        <v>陈梅</v>
      </c>
      <c r="E272" s="8" t="str">
        <f t="shared" si="10"/>
        <v>女</v>
      </c>
      <c r="F272" s="8" t="str">
        <f>"1991-06-10"</f>
        <v>1991-06-10</v>
      </c>
      <c r="G272" s="9"/>
    </row>
    <row r="273" spans="1:7" ht="13.5">
      <c r="A273" s="7">
        <v>271</v>
      </c>
      <c r="B273" s="8" t="str">
        <f>"234120200901221247909"</f>
        <v>234120200901221247909</v>
      </c>
      <c r="C273" s="8" t="s">
        <v>8</v>
      </c>
      <c r="D273" s="8" t="str">
        <f>"郑阿雪"</f>
        <v>郑阿雪</v>
      </c>
      <c r="E273" s="8" t="str">
        <f t="shared" si="10"/>
        <v>女</v>
      </c>
      <c r="F273" s="8" t="str">
        <f>"1995-04-10"</f>
        <v>1995-04-10</v>
      </c>
      <c r="G273" s="9"/>
    </row>
    <row r="274" spans="1:7" ht="13.5">
      <c r="A274" s="7">
        <v>272</v>
      </c>
      <c r="B274" s="8" t="str">
        <f>"234120200901222403915"</f>
        <v>234120200901222403915</v>
      </c>
      <c r="C274" s="8" t="s">
        <v>8</v>
      </c>
      <c r="D274" s="8" t="str">
        <f>"贵鲜"</f>
        <v>贵鲜</v>
      </c>
      <c r="E274" s="8" t="str">
        <f t="shared" si="10"/>
        <v>女</v>
      </c>
      <c r="F274" s="8" t="str">
        <f>"1990-01-17"</f>
        <v>1990-01-17</v>
      </c>
      <c r="G274" s="9"/>
    </row>
    <row r="275" spans="1:7" ht="13.5">
      <c r="A275" s="7">
        <v>273</v>
      </c>
      <c r="B275" s="8" t="str">
        <f>"234120200901222921918"</f>
        <v>234120200901222921918</v>
      </c>
      <c r="C275" s="8" t="s">
        <v>8</v>
      </c>
      <c r="D275" s="8" t="str">
        <f>"黄思思"</f>
        <v>黄思思</v>
      </c>
      <c r="E275" s="8" t="str">
        <f t="shared" si="10"/>
        <v>女</v>
      </c>
      <c r="F275" s="8" t="str">
        <f>"1998-04-28"</f>
        <v>1998-04-28</v>
      </c>
      <c r="G275" s="9"/>
    </row>
    <row r="276" spans="1:7" ht="13.5">
      <c r="A276" s="7">
        <v>274</v>
      </c>
      <c r="B276" s="8" t="str">
        <f>"234120200901223054919"</f>
        <v>234120200901223054919</v>
      </c>
      <c r="C276" s="8" t="s">
        <v>8</v>
      </c>
      <c r="D276" s="8" t="str">
        <f>"骆颜灵"</f>
        <v>骆颜灵</v>
      </c>
      <c r="E276" s="8" t="str">
        <f t="shared" si="10"/>
        <v>女</v>
      </c>
      <c r="F276" s="8" t="str">
        <f>"1990-12-27"</f>
        <v>1990-12-27</v>
      </c>
      <c r="G276" s="9"/>
    </row>
    <row r="277" spans="1:7" ht="13.5">
      <c r="A277" s="7">
        <v>275</v>
      </c>
      <c r="B277" s="8" t="str">
        <f>"234120200901224450926"</f>
        <v>234120200901224450926</v>
      </c>
      <c r="C277" s="8" t="s">
        <v>8</v>
      </c>
      <c r="D277" s="8" t="str">
        <f>"李子怡"</f>
        <v>李子怡</v>
      </c>
      <c r="E277" s="8" t="str">
        <f t="shared" si="10"/>
        <v>女</v>
      </c>
      <c r="F277" s="8" t="str">
        <f>"1993-09-22"</f>
        <v>1993-09-22</v>
      </c>
      <c r="G277" s="9"/>
    </row>
    <row r="278" spans="1:7" ht="13.5">
      <c r="A278" s="7">
        <v>276</v>
      </c>
      <c r="B278" s="8" t="str">
        <f>"234120200901230305931"</f>
        <v>234120200901230305931</v>
      </c>
      <c r="C278" s="8" t="s">
        <v>8</v>
      </c>
      <c r="D278" s="8" t="str">
        <f>"韩悦"</f>
        <v>韩悦</v>
      </c>
      <c r="E278" s="8" t="str">
        <f t="shared" si="10"/>
        <v>女</v>
      </c>
      <c r="F278" s="8" t="str">
        <f>"1992-02-09"</f>
        <v>1992-02-09</v>
      </c>
      <c r="G278" s="9"/>
    </row>
    <row r="279" spans="1:7" ht="13.5">
      <c r="A279" s="7">
        <v>277</v>
      </c>
      <c r="B279" s="8" t="str">
        <f>"234120200901232537933"</f>
        <v>234120200901232537933</v>
      </c>
      <c r="C279" s="8" t="s">
        <v>8</v>
      </c>
      <c r="D279" s="8" t="str">
        <f>"杨蕾"</f>
        <v>杨蕾</v>
      </c>
      <c r="E279" s="8" t="str">
        <f t="shared" si="10"/>
        <v>女</v>
      </c>
      <c r="F279" s="8" t="str">
        <f>"1995-06-01"</f>
        <v>1995-06-01</v>
      </c>
      <c r="G279" s="9"/>
    </row>
    <row r="280" spans="1:7" ht="13.5">
      <c r="A280" s="7">
        <v>278</v>
      </c>
      <c r="B280" s="8" t="str">
        <f>"234120200901233420934"</f>
        <v>234120200901233420934</v>
      </c>
      <c r="C280" s="8" t="s">
        <v>8</v>
      </c>
      <c r="D280" s="8" t="str">
        <f>"刘欣"</f>
        <v>刘欣</v>
      </c>
      <c r="E280" s="8" t="str">
        <f t="shared" si="10"/>
        <v>女</v>
      </c>
      <c r="F280" s="8" t="str">
        <f>"1998-06-16"</f>
        <v>1998-06-16</v>
      </c>
      <c r="G280" s="9"/>
    </row>
    <row r="281" spans="1:7" ht="13.5">
      <c r="A281" s="7">
        <v>279</v>
      </c>
      <c r="B281" s="8" t="str">
        <f>"234120200901235113937"</f>
        <v>234120200901235113937</v>
      </c>
      <c r="C281" s="8" t="s">
        <v>8</v>
      </c>
      <c r="D281" s="8" t="str">
        <f>"何婕"</f>
        <v>何婕</v>
      </c>
      <c r="E281" s="8" t="str">
        <f t="shared" si="10"/>
        <v>女</v>
      </c>
      <c r="F281" s="8" t="str">
        <f>"1996-02-07"</f>
        <v>1996-02-07</v>
      </c>
      <c r="G281" s="9"/>
    </row>
    <row r="282" spans="1:7" ht="13.5">
      <c r="A282" s="7">
        <v>280</v>
      </c>
      <c r="B282" s="8" t="str">
        <f>"234120200902004432942"</f>
        <v>234120200902004432942</v>
      </c>
      <c r="C282" s="8" t="s">
        <v>8</v>
      </c>
      <c r="D282" s="8" t="str">
        <f>"马敏敏"</f>
        <v>马敏敏</v>
      </c>
      <c r="E282" s="8" t="str">
        <f t="shared" si="10"/>
        <v>女</v>
      </c>
      <c r="F282" s="8" t="str">
        <f>"1995-03-07"</f>
        <v>1995-03-07</v>
      </c>
      <c r="G282" s="9"/>
    </row>
    <row r="283" spans="1:7" ht="13.5">
      <c r="A283" s="7">
        <v>281</v>
      </c>
      <c r="B283" s="8" t="str">
        <f>"234120200902011508943"</f>
        <v>234120200902011508943</v>
      </c>
      <c r="C283" s="8" t="s">
        <v>8</v>
      </c>
      <c r="D283" s="8" t="str">
        <f>"曾其生"</f>
        <v>曾其生</v>
      </c>
      <c r="E283" s="8" t="str">
        <f>"男"</f>
        <v>男</v>
      </c>
      <c r="F283" s="8" t="str">
        <f>"1993-11-09"</f>
        <v>1993-11-09</v>
      </c>
      <c r="G283" s="9"/>
    </row>
    <row r="284" spans="1:7" ht="13.5">
      <c r="A284" s="7">
        <v>282</v>
      </c>
      <c r="B284" s="8" t="str">
        <f>"234120200902073746946"</f>
        <v>234120200902073746946</v>
      </c>
      <c r="C284" s="8" t="s">
        <v>8</v>
      </c>
      <c r="D284" s="8" t="str">
        <f>"李姣"</f>
        <v>李姣</v>
      </c>
      <c r="E284" s="8" t="str">
        <f aca="true" t="shared" si="11" ref="E284:E315">"女"</f>
        <v>女</v>
      </c>
      <c r="F284" s="8" t="str">
        <f>"1994-07-20"</f>
        <v>1994-07-20</v>
      </c>
      <c r="G284" s="9"/>
    </row>
    <row r="285" spans="1:7" ht="13.5">
      <c r="A285" s="7">
        <v>283</v>
      </c>
      <c r="B285" s="8" t="str">
        <f>"234120200902083523949"</f>
        <v>234120200902083523949</v>
      </c>
      <c r="C285" s="8" t="s">
        <v>8</v>
      </c>
      <c r="D285" s="8" t="str">
        <f>"焦悦"</f>
        <v>焦悦</v>
      </c>
      <c r="E285" s="8" t="str">
        <f t="shared" si="11"/>
        <v>女</v>
      </c>
      <c r="F285" s="8" t="str">
        <f>"1996-04-05"</f>
        <v>1996-04-05</v>
      </c>
      <c r="G285" s="9"/>
    </row>
    <row r="286" spans="1:7" ht="13.5">
      <c r="A286" s="7">
        <v>284</v>
      </c>
      <c r="B286" s="8" t="str">
        <f>"234120200902085840951"</f>
        <v>234120200902085840951</v>
      </c>
      <c r="C286" s="8" t="s">
        <v>8</v>
      </c>
      <c r="D286" s="8" t="str">
        <f>"梁承凤"</f>
        <v>梁承凤</v>
      </c>
      <c r="E286" s="8" t="str">
        <f t="shared" si="11"/>
        <v>女</v>
      </c>
      <c r="F286" s="8" t="str">
        <f>"1993-12-18"</f>
        <v>1993-12-18</v>
      </c>
      <c r="G286" s="9"/>
    </row>
    <row r="287" spans="1:7" ht="13.5">
      <c r="A287" s="7">
        <v>285</v>
      </c>
      <c r="B287" s="8" t="str">
        <f>"234120200902091016954"</f>
        <v>234120200902091016954</v>
      </c>
      <c r="C287" s="8" t="s">
        <v>8</v>
      </c>
      <c r="D287" s="8" t="str">
        <f>"李可欣"</f>
        <v>李可欣</v>
      </c>
      <c r="E287" s="8" t="str">
        <f t="shared" si="11"/>
        <v>女</v>
      </c>
      <c r="F287" s="8" t="str">
        <f>"1997-12-02"</f>
        <v>1997-12-02</v>
      </c>
      <c r="G287" s="9"/>
    </row>
    <row r="288" spans="1:7" ht="13.5">
      <c r="A288" s="7">
        <v>286</v>
      </c>
      <c r="B288" s="8" t="str">
        <f>"234120200902091351956"</f>
        <v>234120200902091351956</v>
      </c>
      <c r="C288" s="8" t="s">
        <v>8</v>
      </c>
      <c r="D288" s="8" t="str">
        <f>"羊丽霞"</f>
        <v>羊丽霞</v>
      </c>
      <c r="E288" s="8" t="str">
        <f t="shared" si="11"/>
        <v>女</v>
      </c>
      <c r="F288" s="8" t="str">
        <f>"1996-10-30"</f>
        <v>1996-10-30</v>
      </c>
      <c r="G288" s="9"/>
    </row>
    <row r="289" spans="1:7" ht="13.5">
      <c r="A289" s="7">
        <v>287</v>
      </c>
      <c r="B289" s="8" t="str">
        <f>"234120200902091719958"</f>
        <v>234120200902091719958</v>
      </c>
      <c r="C289" s="8" t="s">
        <v>8</v>
      </c>
      <c r="D289" s="8" t="str">
        <f>"陈民丽"</f>
        <v>陈民丽</v>
      </c>
      <c r="E289" s="8" t="str">
        <f t="shared" si="11"/>
        <v>女</v>
      </c>
      <c r="F289" s="8" t="str">
        <f>"1996-06-07"</f>
        <v>1996-06-07</v>
      </c>
      <c r="G289" s="9"/>
    </row>
    <row r="290" spans="1:7" ht="13.5">
      <c r="A290" s="7">
        <v>288</v>
      </c>
      <c r="B290" s="8" t="str">
        <f>"234120200902093745963"</f>
        <v>234120200902093745963</v>
      </c>
      <c r="C290" s="8" t="s">
        <v>8</v>
      </c>
      <c r="D290" s="8" t="str">
        <f>"张可欣"</f>
        <v>张可欣</v>
      </c>
      <c r="E290" s="8" t="str">
        <f t="shared" si="11"/>
        <v>女</v>
      </c>
      <c r="F290" s="8" t="str">
        <f>"1996-09-29"</f>
        <v>1996-09-29</v>
      </c>
      <c r="G290" s="9"/>
    </row>
    <row r="291" spans="1:7" ht="13.5">
      <c r="A291" s="7">
        <v>289</v>
      </c>
      <c r="B291" s="8" t="str">
        <f>"234120200902095321968"</f>
        <v>234120200902095321968</v>
      </c>
      <c r="C291" s="8" t="s">
        <v>8</v>
      </c>
      <c r="D291" s="8" t="str">
        <f>"冯丽霞"</f>
        <v>冯丽霞</v>
      </c>
      <c r="E291" s="8" t="str">
        <f t="shared" si="11"/>
        <v>女</v>
      </c>
      <c r="F291" s="8" t="str">
        <f>"1990-11-20"</f>
        <v>1990-11-20</v>
      </c>
      <c r="G291" s="9"/>
    </row>
    <row r="292" spans="1:7" ht="13.5">
      <c r="A292" s="7">
        <v>290</v>
      </c>
      <c r="B292" s="8" t="str">
        <f>"234120200902095956970"</f>
        <v>234120200902095956970</v>
      </c>
      <c r="C292" s="8" t="s">
        <v>8</v>
      </c>
      <c r="D292" s="8" t="str">
        <f>"周孝萍"</f>
        <v>周孝萍</v>
      </c>
      <c r="E292" s="8" t="str">
        <f t="shared" si="11"/>
        <v>女</v>
      </c>
      <c r="F292" s="8" t="str">
        <f>"1995-02-12"</f>
        <v>1995-02-12</v>
      </c>
      <c r="G292" s="9"/>
    </row>
    <row r="293" spans="1:7" ht="13.5">
      <c r="A293" s="7">
        <v>291</v>
      </c>
      <c r="B293" s="8" t="str">
        <f>"234120200902100103971"</f>
        <v>234120200902100103971</v>
      </c>
      <c r="C293" s="8" t="s">
        <v>8</v>
      </c>
      <c r="D293" s="8" t="str">
        <f>"陈蕾伊"</f>
        <v>陈蕾伊</v>
      </c>
      <c r="E293" s="8" t="str">
        <f t="shared" si="11"/>
        <v>女</v>
      </c>
      <c r="F293" s="8" t="str">
        <f>"1991-07-15"</f>
        <v>1991-07-15</v>
      </c>
      <c r="G293" s="9"/>
    </row>
    <row r="294" spans="1:7" ht="13.5">
      <c r="A294" s="7">
        <v>292</v>
      </c>
      <c r="B294" s="8" t="str">
        <f>"234120200902100900973"</f>
        <v>234120200902100900973</v>
      </c>
      <c r="C294" s="8" t="s">
        <v>8</v>
      </c>
      <c r="D294" s="8" t="str">
        <f>"钟琪"</f>
        <v>钟琪</v>
      </c>
      <c r="E294" s="8" t="str">
        <f t="shared" si="11"/>
        <v>女</v>
      </c>
      <c r="F294" s="8" t="str">
        <f>"1999-07-12"</f>
        <v>1999-07-12</v>
      </c>
      <c r="G294" s="9"/>
    </row>
    <row r="295" spans="1:7" ht="13.5">
      <c r="A295" s="7">
        <v>293</v>
      </c>
      <c r="B295" s="8" t="str">
        <f>"234120200902101030976"</f>
        <v>234120200902101030976</v>
      </c>
      <c r="C295" s="8" t="s">
        <v>8</v>
      </c>
      <c r="D295" s="8" t="str">
        <f>"柯萍"</f>
        <v>柯萍</v>
      </c>
      <c r="E295" s="8" t="str">
        <f t="shared" si="11"/>
        <v>女</v>
      </c>
      <c r="F295" s="8" t="str">
        <f>"1997-07-04"</f>
        <v>1997-07-04</v>
      </c>
      <c r="G295" s="9"/>
    </row>
    <row r="296" spans="1:7" ht="13.5">
      <c r="A296" s="7">
        <v>294</v>
      </c>
      <c r="B296" s="8" t="str">
        <f>"234120200902102151980"</f>
        <v>234120200902102151980</v>
      </c>
      <c r="C296" s="8" t="s">
        <v>8</v>
      </c>
      <c r="D296" s="8" t="str">
        <f>"王曼玲"</f>
        <v>王曼玲</v>
      </c>
      <c r="E296" s="8" t="str">
        <f t="shared" si="11"/>
        <v>女</v>
      </c>
      <c r="F296" s="8" t="str">
        <f>"1993-04-10"</f>
        <v>1993-04-10</v>
      </c>
      <c r="G296" s="9"/>
    </row>
    <row r="297" spans="1:7" ht="13.5">
      <c r="A297" s="7">
        <v>295</v>
      </c>
      <c r="B297" s="8" t="str">
        <f>"234120200902102458981"</f>
        <v>234120200902102458981</v>
      </c>
      <c r="C297" s="8" t="s">
        <v>8</v>
      </c>
      <c r="D297" s="8" t="str">
        <f>"舒敏"</f>
        <v>舒敏</v>
      </c>
      <c r="E297" s="8" t="str">
        <f t="shared" si="11"/>
        <v>女</v>
      </c>
      <c r="F297" s="8" t="str">
        <f>"1994-08-16"</f>
        <v>1994-08-16</v>
      </c>
      <c r="G297" s="9"/>
    </row>
    <row r="298" spans="1:7" ht="13.5">
      <c r="A298" s="7">
        <v>296</v>
      </c>
      <c r="B298" s="8" t="str">
        <f>"234120200902104221988"</f>
        <v>234120200902104221988</v>
      </c>
      <c r="C298" s="8" t="s">
        <v>8</v>
      </c>
      <c r="D298" s="8" t="str">
        <f>"卢芳珍"</f>
        <v>卢芳珍</v>
      </c>
      <c r="E298" s="8" t="str">
        <f t="shared" si="11"/>
        <v>女</v>
      </c>
      <c r="F298" s="8" t="str">
        <f>"1995-09-08"</f>
        <v>1995-09-08</v>
      </c>
      <c r="G298" s="9"/>
    </row>
    <row r="299" spans="1:7" ht="13.5">
      <c r="A299" s="7">
        <v>297</v>
      </c>
      <c r="B299" s="8" t="str">
        <f>"234120200902112144998"</f>
        <v>234120200902112144998</v>
      </c>
      <c r="C299" s="8" t="s">
        <v>8</v>
      </c>
      <c r="D299" s="8" t="str">
        <f>"陈茹"</f>
        <v>陈茹</v>
      </c>
      <c r="E299" s="8" t="str">
        <f t="shared" si="11"/>
        <v>女</v>
      </c>
      <c r="F299" s="8" t="str">
        <f>"1996-11-06"</f>
        <v>1996-11-06</v>
      </c>
      <c r="G299" s="9"/>
    </row>
    <row r="300" spans="1:7" ht="13.5">
      <c r="A300" s="7">
        <v>298</v>
      </c>
      <c r="B300" s="8" t="str">
        <f>"2341202009021134101001"</f>
        <v>2341202009021134101001</v>
      </c>
      <c r="C300" s="8" t="s">
        <v>8</v>
      </c>
      <c r="D300" s="8" t="str">
        <f>"朱玉萍"</f>
        <v>朱玉萍</v>
      </c>
      <c r="E300" s="8" t="str">
        <f t="shared" si="11"/>
        <v>女</v>
      </c>
      <c r="F300" s="8" t="str">
        <f>"1990-12-08"</f>
        <v>1990-12-08</v>
      </c>
      <c r="G300" s="9"/>
    </row>
    <row r="301" spans="1:7" ht="13.5">
      <c r="A301" s="7">
        <v>299</v>
      </c>
      <c r="B301" s="8" t="str">
        <f>"2341202009021136301002"</f>
        <v>2341202009021136301002</v>
      </c>
      <c r="C301" s="8" t="s">
        <v>8</v>
      </c>
      <c r="D301" s="8" t="str">
        <f>"苏文妮"</f>
        <v>苏文妮</v>
      </c>
      <c r="E301" s="8" t="str">
        <f t="shared" si="11"/>
        <v>女</v>
      </c>
      <c r="F301" s="8" t="str">
        <f>"1991-11-19"</f>
        <v>1991-11-19</v>
      </c>
      <c r="G301" s="9"/>
    </row>
    <row r="302" spans="1:7" ht="13.5">
      <c r="A302" s="7">
        <v>300</v>
      </c>
      <c r="B302" s="8" t="str">
        <f>"2341202009021223441012"</f>
        <v>2341202009021223441012</v>
      </c>
      <c r="C302" s="8" t="s">
        <v>8</v>
      </c>
      <c r="D302" s="8" t="str">
        <f>"陈小宇"</f>
        <v>陈小宇</v>
      </c>
      <c r="E302" s="8" t="str">
        <f t="shared" si="11"/>
        <v>女</v>
      </c>
      <c r="F302" s="8" t="str">
        <f>"1996-03-15"</f>
        <v>1996-03-15</v>
      </c>
      <c r="G302" s="9"/>
    </row>
    <row r="303" spans="1:7" ht="13.5">
      <c r="A303" s="7">
        <v>301</v>
      </c>
      <c r="B303" s="8" t="str">
        <f>"2341202009021234241017"</f>
        <v>2341202009021234241017</v>
      </c>
      <c r="C303" s="8" t="s">
        <v>8</v>
      </c>
      <c r="D303" s="8" t="str">
        <f>"陈媛菲"</f>
        <v>陈媛菲</v>
      </c>
      <c r="E303" s="8" t="str">
        <f t="shared" si="11"/>
        <v>女</v>
      </c>
      <c r="F303" s="8" t="str">
        <f>"1990-12-12"</f>
        <v>1990-12-12</v>
      </c>
      <c r="G303" s="9"/>
    </row>
    <row r="304" spans="1:7" ht="13.5">
      <c r="A304" s="7">
        <v>302</v>
      </c>
      <c r="B304" s="8" t="str">
        <f>"2341202009021258501024"</f>
        <v>2341202009021258501024</v>
      </c>
      <c r="C304" s="8" t="s">
        <v>8</v>
      </c>
      <c r="D304" s="8" t="str">
        <f>"林媛媛"</f>
        <v>林媛媛</v>
      </c>
      <c r="E304" s="8" t="str">
        <f t="shared" si="11"/>
        <v>女</v>
      </c>
      <c r="F304" s="8" t="str">
        <f>"1996-10-10"</f>
        <v>1996-10-10</v>
      </c>
      <c r="G304" s="9"/>
    </row>
    <row r="305" spans="1:7" ht="13.5">
      <c r="A305" s="7">
        <v>303</v>
      </c>
      <c r="B305" s="8" t="str">
        <f>"2341202009021356161034"</f>
        <v>2341202009021356161034</v>
      </c>
      <c r="C305" s="8" t="s">
        <v>8</v>
      </c>
      <c r="D305" s="8" t="str">
        <f>"姜玉玮"</f>
        <v>姜玉玮</v>
      </c>
      <c r="E305" s="8" t="str">
        <f t="shared" si="11"/>
        <v>女</v>
      </c>
      <c r="F305" s="8" t="str">
        <f>"1998-07-31"</f>
        <v>1998-07-31</v>
      </c>
      <c r="G305" s="9"/>
    </row>
    <row r="306" spans="1:7" ht="13.5">
      <c r="A306" s="7">
        <v>304</v>
      </c>
      <c r="B306" s="8" t="str">
        <f>"2341202009021438001039"</f>
        <v>2341202009021438001039</v>
      </c>
      <c r="C306" s="8" t="s">
        <v>8</v>
      </c>
      <c r="D306" s="8" t="str">
        <f>"符娜"</f>
        <v>符娜</v>
      </c>
      <c r="E306" s="8" t="str">
        <f t="shared" si="11"/>
        <v>女</v>
      </c>
      <c r="F306" s="8" t="str">
        <f>"1988-10-04"</f>
        <v>1988-10-04</v>
      </c>
      <c r="G306" s="9"/>
    </row>
    <row r="307" spans="1:7" ht="13.5">
      <c r="A307" s="7">
        <v>305</v>
      </c>
      <c r="B307" s="8" t="str">
        <f>"2341202009021511451045"</f>
        <v>2341202009021511451045</v>
      </c>
      <c r="C307" s="8" t="s">
        <v>8</v>
      </c>
      <c r="D307" s="8" t="str">
        <f>"何海珊"</f>
        <v>何海珊</v>
      </c>
      <c r="E307" s="8" t="str">
        <f t="shared" si="11"/>
        <v>女</v>
      </c>
      <c r="F307" s="8" t="str">
        <f>"1991-05-06"</f>
        <v>1991-05-06</v>
      </c>
      <c r="G307" s="9"/>
    </row>
    <row r="308" spans="1:7" ht="13.5">
      <c r="A308" s="7">
        <v>306</v>
      </c>
      <c r="B308" s="8" t="str">
        <f>"2341202009021522161048"</f>
        <v>2341202009021522161048</v>
      </c>
      <c r="C308" s="8" t="s">
        <v>8</v>
      </c>
      <c r="D308" s="8" t="str">
        <f>"潘菲"</f>
        <v>潘菲</v>
      </c>
      <c r="E308" s="8" t="str">
        <f t="shared" si="11"/>
        <v>女</v>
      </c>
      <c r="F308" s="8" t="str">
        <f>"1996-05-05"</f>
        <v>1996-05-05</v>
      </c>
      <c r="G308" s="9"/>
    </row>
    <row r="309" spans="1:7" ht="13.5">
      <c r="A309" s="7">
        <v>307</v>
      </c>
      <c r="B309" s="8" t="str">
        <f>"2341202009021532191053"</f>
        <v>2341202009021532191053</v>
      </c>
      <c r="C309" s="8" t="s">
        <v>8</v>
      </c>
      <c r="D309" s="8" t="str">
        <f>"钟晓莹"</f>
        <v>钟晓莹</v>
      </c>
      <c r="E309" s="8" t="str">
        <f t="shared" si="11"/>
        <v>女</v>
      </c>
      <c r="F309" s="8" t="str">
        <f>"1990-04-16"</f>
        <v>1990-04-16</v>
      </c>
      <c r="G309" s="9"/>
    </row>
    <row r="310" spans="1:7" ht="13.5">
      <c r="A310" s="7">
        <v>308</v>
      </c>
      <c r="B310" s="8" t="str">
        <f>"2341202009021536111056"</f>
        <v>2341202009021536111056</v>
      </c>
      <c r="C310" s="8" t="s">
        <v>8</v>
      </c>
      <c r="D310" s="8" t="str">
        <f>"林芳珠"</f>
        <v>林芳珠</v>
      </c>
      <c r="E310" s="8" t="str">
        <f t="shared" si="11"/>
        <v>女</v>
      </c>
      <c r="F310" s="8" t="str">
        <f>"1989-04-23"</f>
        <v>1989-04-23</v>
      </c>
      <c r="G310" s="9"/>
    </row>
    <row r="311" spans="1:7" ht="13.5">
      <c r="A311" s="7">
        <v>309</v>
      </c>
      <c r="B311" s="8" t="str">
        <f>"2341202009021536491057"</f>
        <v>2341202009021536491057</v>
      </c>
      <c r="C311" s="8" t="s">
        <v>8</v>
      </c>
      <c r="D311" s="8" t="str">
        <f>"王君"</f>
        <v>王君</v>
      </c>
      <c r="E311" s="8" t="str">
        <f t="shared" si="11"/>
        <v>女</v>
      </c>
      <c r="F311" s="8" t="str">
        <f>"1991-12-31"</f>
        <v>1991-12-31</v>
      </c>
      <c r="G311" s="9"/>
    </row>
    <row r="312" spans="1:7" ht="13.5">
      <c r="A312" s="7">
        <v>310</v>
      </c>
      <c r="B312" s="8" t="str">
        <f>"2341202009021539321059"</f>
        <v>2341202009021539321059</v>
      </c>
      <c r="C312" s="8" t="s">
        <v>8</v>
      </c>
      <c r="D312" s="8" t="str">
        <f>"陈运娜"</f>
        <v>陈运娜</v>
      </c>
      <c r="E312" s="8" t="str">
        <f t="shared" si="11"/>
        <v>女</v>
      </c>
      <c r="F312" s="8" t="str">
        <f>"1986-08-07"</f>
        <v>1986-08-07</v>
      </c>
      <c r="G312" s="9"/>
    </row>
    <row r="313" spans="1:7" ht="13.5">
      <c r="A313" s="7">
        <v>311</v>
      </c>
      <c r="B313" s="8" t="str">
        <f>"2341202009021558011065"</f>
        <v>2341202009021558011065</v>
      </c>
      <c r="C313" s="8" t="s">
        <v>8</v>
      </c>
      <c r="D313" s="8" t="str">
        <f>"陈婉芬"</f>
        <v>陈婉芬</v>
      </c>
      <c r="E313" s="8" t="str">
        <f t="shared" si="11"/>
        <v>女</v>
      </c>
      <c r="F313" s="8" t="str">
        <f>"1989-09-29"</f>
        <v>1989-09-29</v>
      </c>
      <c r="G313" s="9"/>
    </row>
    <row r="314" spans="1:7" ht="13.5">
      <c r="A314" s="7">
        <v>312</v>
      </c>
      <c r="B314" s="8" t="str">
        <f>"2341202009021615481069"</f>
        <v>2341202009021615481069</v>
      </c>
      <c r="C314" s="8" t="s">
        <v>8</v>
      </c>
      <c r="D314" s="8" t="str">
        <f>"郑春敏"</f>
        <v>郑春敏</v>
      </c>
      <c r="E314" s="8" t="str">
        <f t="shared" si="11"/>
        <v>女</v>
      </c>
      <c r="F314" s="8" t="str">
        <f>"1995-07-20"</f>
        <v>1995-07-20</v>
      </c>
      <c r="G314" s="9"/>
    </row>
    <row r="315" spans="1:7" ht="13.5">
      <c r="A315" s="7">
        <v>313</v>
      </c>
      <c r="B315" s="8" t="str">
        <f>"2341202009021622001071"</f>
        <v>2341202009021622001071</v>
      </c>
      <c r="C315" s="8" t="s">
        <v>8</v>
      </c>
      <c r="D315" s="8" t="str">
        <f>"王艺杰"</f>
        <v>王艺杰</v>
      </c>
      <c r="E315" s="8" t="str">
        <f t="shared" si="11"/>
        <v>女</v>
      </c>
      <c r="F315" s="8" t="str">
        <f>"1997-12-14"</f>
        <v>1997-12-14</v>
      </c>
      <c r="G315" s="9"/>
    </row>
    <row r="316" spans="1:7" ht="13.5">
      <c r="A316" s="7">
        <v>314</v>
      </c>
      <c r="B316" s="8" t="str">
        <f>"2341202009021636301073"</f>
        <v>2341202009021636301073</v>
      </c>
      <c r="C316" s="8" t="s">
        <v>8</v>
      </c>
      <c r="D316" s="8" t="str">
        <f>"叶晓琳"</f>
        <v>叶晓琳</v>
      </c>
      <c r="E316" s="8" t="str">
        <f aca="true" t="shared" si="12" ref="E316:E337">"女"</f>
        <v>女</v>
      </c>
      <c r="F316" s="8" t="str">
        <f>"1998-05-24"</f>
        <v>1998-05-24</v>
      </c>
      <c r="G316" s="9"/>
    </row>
    <row r="317" spans="1:7" ht="13.5">
      <c r="A317" s="7">
        <v>315</v>
      </c>
      <c r="B317" s="8" t="str">
        <f>"2341202009021639341074"</f>
        <v>2341202009021639341074</v>
      </c>
      <c r="C317" s="8" t="s">
        <v>8</v>
      </c>
      <c r="D317" s="8" t="str">
        <f>"苏二妹"</f>
        <v>苏二妹</v>
      </c>
      <c r="E317" s="8" t="str">
        <f t="shared" si="12"/>
        <v>女</v>
      </c>
      <c r="F317" s="8" t="str">
        <f>"1993-01-06"</f>
        <v>1993-01-06</v>
      </c>
      <c r="G317" s="9"/>
    </row>
    <row r="318" spans="1:7" ht="13.5">
      <c r="A318" s="7">
        <v>316</v>
      </c>
      <c r="B318" s="8" t="str">
        <f>"2341202009021657291077"</f>
        <v>2341202009021657291077</v>
      </c>
      <c r="C318" s="8" t="s">
        <v>8</v>
      </c>
      <c r="D318" s="8" t="str">
        <f>"庞华南"</f>
        <v>庞华南</v>
      </c>
      <c r="E318" s="8" t="str">
        <f t="shared" si="12"/>
        <v>女</v>
      </c>
      <c r="F318" s="8" t="str">
        <f>"1996-02-28"</f>
        <v>1996-02-28</v>
      </c>
      <c r="G318" s="9"/>
    </row>
    <row r="319" spans="1:7" ht="13.5">
      <c r="A319" s="7">
        <v>317</v>
      </c>
      <c r="B319" s="8" t="str">
        <f>"2341202009021708021080"</f>
        <v>2341202009021708021080</v>
      </c>
      <c r="C319" s="8" t="s">
        <v>8</v>
      </c>
      <c r="D319" s="8" t="str">
        <f>"吉训春"</f>
        <v>吉训春</v>
      </c>
      <c r="E319" s="8" t="str">
        <f t="shared" si="12"/>
        <v>女</v>
      </c>
      <c r="F319" s="8" t="str">
        <f>"1996-07-26"</f>
        <v>1996-07-26</v>
      </c>
      <c r="G319" s="9"/>
    </row>
    <row r="320" spans="1:7" ht="13.5">
      <c r="A320" s="7">
        <v>318</v>
      </c>
      <c r="B320" s="8" t="str">
        <f>"2341202009021708231081"</f>
        <v>2341202009021708231081</v>
      </c>
      <c r="C320" s="8" t="s">
        <v>8</v>
      </c>
      <c r="D320" s="8" t="str">
        <f>"杨定运"</f>
        <v>杨定运</v>
      </c>
      <c r="E320" s="8" t="str">
        <f t="shared" si="12"/>
        <v>女</v>
      </c>
      <c r="F320" s="8" t="str">
        <f>"1995-04-11"</f>
        <v>1995-04-11</v>
      </c>
      <c r="G320" s="9"/>
    </row>
    <row r="321" spans="1:7" ht="13.5">
      <c r="A321" s="7">
        <v>319</v>
      </c>
      <c r="B321" s="8" t="str">
        <f>"2341202009021709531082"</f>
        <v>2341202009021709531082</v>
      </c>
      <c r="C321" s="8" t="s">
        <v>8</v>
      </c>
      <c r="D321" s="8" t="str">
        <f>"何秋"</f>
        <v>何秋</v>
      </c>
      <c r="E321" s="8" t="str">
        <f t="shared" si="12"/>
        <v>女</v>
      </c>
      <c r="F321" s="8" t="str">
        <f>"1996-09-26"</f>
        <v>1996-09-26</v>
      </c>
      <c r="G321" s="9"/>
    </row>
    <row r="322" spans="1:7" ht="13.5">
      <c r="A322" s="7">
        <v>320</v>
      </c>
      <c r="B322" s="8" t="str">
        <f>"2341202009021722571088"</f>
        <v>2341202009021722571088</v>
      </c>
      <c r="C322" s="8" t="s">
        <v>8</v>
      </c>
      <c r="D322" s="8" t="str">
        <f>"卢文润"</f>
        <v>卢文润</v>
      </c>
      <c r="E322" s="8" t="str">
        <f t="shared" si="12"/>
        <v>女</v>
      </c>
      <c r="F322" s="8" t="str">
        <f>"1993-10-19"</f>
        <v>1993-10-19</v>
      </c>
      <c r="G322" s="9"/>
    </row>
    <row r="323" spans="1:7" ht="13.5">
      <c r="A323" s="7">
        <v>321</v>
      </c>
      <c r="B323" s="8" t="str">
        <f>"2341202009021725581090"</f>
        <v>2341202009021725581090</v>
      </c>
      <c r="C323" s="8" t="s">
        <v>8</v>
      </c>
      <c r="D323" s="8" t="str">
        <f>"符绿梅"</f>
        <v>符绿梅</v>
      </c>
      <c r="E323" s="8" t="str">
        <f t="shared" si="12"/>
        <v>女</v>
      </c>
      <c r="F323" s="8" t="str">
        <f>"1997-09-02"</f>
        <v>1997-09-02</v>
      </c>
      <c r="G323" s="9"/>
    </row>
    <row r="324" spans="1:7" ht="13.5">
      <c r="A324" s="7">
        <v>322</v>
      </c>
      <c r="B324" s="8" t="str">
        <f>"2341202009021728331092"</f>
        <v>2341202009021728331092</v>
      </c>
      <c r="C324" s="8" t="s">
        <v>8</v>
      </c>
      <c r="D324" s="8" t="str">
        <f>"叶秋香"</f>
        <v>叶秋香</v>
      </c>
      <c r="E324" s="8" t="str">
        <f t="shared" si="12"/>
        <v>女</v>
      </c>
      <c r="F324" s="8" t="str">
        <f>"1997-09-01"</f>
        <v>1997-09-01</v>
      </c>
      <c r="G324" s="9"/>
    </row>
    <row r="325" spans="1:7" ht="13.5">
      <c r="A325" s="7">
        <v>323</v>
      </c>
      <c r="B325" s="8" t="str">
        <f>"2341202009021732231094"</f>
        <v>2341202009021732231094</v>
      </c>
      <c r="C325" s="8" t="s">
        <v>8</v>
      </c>
      <c r="D325" s="8" t="str">
        <f>"李秀艾"</f>
        <v>李秀艾</v>
      </c>
      <c r="E325" s="8" t="str">
        <f t="shared" si="12"/>
        <v>女</v>
      </c>
      <c r="F325" s="8" t="str">
        <f>"1997-08-10"</f>
        <v>1997-08-10</v>
      </c>
      <c r="G325" s="9"/>
    </row>
    <row r="326" spans="1:7" ht="13.5">
      <c r="A326" s="7">
        <v>324</v>
      </c>
      <c r="B326" s="8" t="str">
        <f>"2341202009021754171097"</f>
        <v>2341202009021754171097</v>
      </c>
      <c r="C326" s="8" t="s">
        <v>8</v>
      </c>
      <c r="D326" s="8" t="str">
        <f>"张教嫦"</f>
        <v>张教嫦</v>
      </c>
      <c r="E326" s="8" t="str">
        <f t="shared" si="12"/>
        <v>女</v>
      </c>
      <c r="F326" s="8" t="str">
        <f>"1994-11-07"</f>
        <v>1994-11-07</v>
      </c>
      <c r="G326" s="9"/>
    </row>
    <row r="327" spans="1:7" ht="13.5">
      <c r="A327" s="7">
        <v>325</v>
      </c>
      <c r="B327" s="8" t="str">
        <f>"2341202009021756531098"</f>
        <v>2341202009021756531098</v>
      </c>
      <c r="C327" s="8" t="s">
        <v>8</v>
      </c>
      <c r="D327" s="8" t="str">
        <f>"陈小慧"</f>
        <v>陈小慧</v>
      </c>
      <c r="E327" s="8" t="str">
        <f t="shared" si="12"/>
        <v>女</v>
      </c>
      <c r="F327" s="8" t="str">
        <f>"1996-06-20"</f>
        <v>1996-06-20</v>
      </c>
      <c r="G327" s="9"/>
    </row>
    <row r="328" spans="1:7" ht="13.5">
      <c r="A328" s="7">
        <v>326</v>
      </c>
      <c r="B328" s="8" t="str">
        <f>"2341202009021801561099"</f>
        <v>2341202009021801561099</v>
      </c>
      <c r="C328" s="8" t="s">
        <v>8</v>
      </c>
      <c r="D328" s="8" t="str">
        <f>"黎菊女"</f>
        <v>黎菊女</v>
      </c>
      <c r="E328" s="8" t="str">
        <f t="shared" si="12"/>
        <v>女</v>
      </c>
      <c r="F328" s="8" t="str">
        <f>"1994-03-02"</f>
        <v>1994-03-02</v>
      </c>
      <c r="G328" s="9"/>
    </row>
    <row r="329" spans="1:7" ht="13.5">
      <c r="A329" s="7">
        <v>327</v>
      </c>
      <c r="B329" s="8" t="str">
        <f>"2341202009021819581105"</f>
        <v>2341202009021819581105</v>
      </c>
      <c r="C329" s="8" t="s">
        <v>8</v>
      </c>
      <c r="D329" s="8" t="str">
        <f>"陈容"</f>
        <v>陈容</v>
      </c>
      <c r="E329" s="8" t="str">
        <f t="shared" si="12"/>
        <v>女</v>
      </c>
      <c r="F329" s="8" t="str">
        <f>"1995-07-26"</f>
        <v>1995-07-26</v>
      </c>
      <c r="G329" s="9"/>
    </row>
    <row r="330" spans="1:7" ht="13.5">
      <c r="A330" s="7">
        <v>328</v>
      </c>
      <c r="B330" s="8" t="str">
        <f>"2341202009021840131108"</f>
        <v>2341202009021840131108</v>
      </c>
      <c r="C330" s="8" t="s">
        <v>8</v>
      </c>
      <c r="D330" s="8" t="str">
        <f>"卓萧萧"</f>
        <v>卓萧萧</v>
      </c>
      <c r="E330" s="8" t="str">
        <f t="shared" si="12"/>
        <v>女</v>
      </c>
      <c r="F330" s="8" t="str">
        <f>"1998-07-23"</f>
        <v>1998-07-23</v>
      </c>
      <c r="G330" s="9"/>
    </row>
    <row r="331" spans="1:7" ht="13.5">
      <c r="A331" s="7">
        <v>329</v>
      </c>
      <c r="B331" s="8" t="str">
        <f>"2341202009021850571113"</f>
        <v>2341202009021850571113</v>
      </c>
      <c r="C331" s="8" t="s">
        <v>8</v>
      </c>
      <c r="D331" s="8" t="str">
        <f>"李依锦"</f>
        <v>李依锦</v>
      </c>
      <c r="E331" s="8" t="str">
        <f t="shared" si="12"/>
        <v>女</v>
      </c>
      <c r="F331" s="8" t="str">
        <f>"1995-12-19"</f>
        <v>1995-12-19</v>
      </c>
      <c r="G331" s="9"/>
    </row>
    <row r="332" spans="1:7" ht="13.5">
      <c r="A332" s="7">
        <v>330</v>
      </c>
      <c r="B332" s="8" t="str">
        <f>"2341202009021911101114"</f>
        <v>2341202009021911101114</v>
      </c>
      <c r="C332" s="8" t="s">
        <v>8</v>
      </c>
      <c r="D332" s="8" t="str">
        <f>"陈福映"</f>
        <v>陈福映</v>
      </c>
      <c r="E332" s="8" t="str">
        <f t="shared" si="12"/>
        <v>女</v>
      </c>
      <c r="F332" s="8" t="str">
        <f>"1993-04-11"</f>
        <v>1993-04-11</v>
      </c>
      <c r="G332" s="9"/>
    </row>
    <row r="333" spans="1:7" ht="13.5">
      <c r="A333" s="7">
        <v>331</v>
      </c>
      <c r="B333" s="8" t="str">
        <f>"2341202009021924431117"</f>
        <v>2341202009021924431117</v>
      </c>
      <c r="C333" s="8" t="s">
        <v>8</v>
      </c>
      <c r="D333" s="8" t="str">
        <f>"陈丽芳"</f>
        <v>陈丽芳</v>
      </c>
      <c r="E333" s="8" t="str">
        <f t="shared" si="12"/>
        <v>女</v>
      </c>
      <c r="F333" s="8" t="str">
        <f>"1998-08-24"</f>
        <v>1998-08-24</v>
      </c>
      <c r="G333" s="9"/>
    </row>
    <row r="334" spans="1:7" ht="13.5">
      <c r="A334" s="7">
        <v>332</v>
      </c>
      <c r="B334" s="8" t="str">
        <f>"2341202009021951271119"</f>
        <v>2341202009021951271119</v>
      </c>
      <c r="C334" s="8" t="s">
        <v>8</v>
      </c>
      <c r="D334" s="8" t="str">
        <f>"黎宥兰"</f>
        <v>黎宥兰</v>
      </c>
      <c r="E334" s="8" t="str">
        <f t="shared" si="12"/>
        <v>女</v>
      </c>
      <c r="F334" s="8" t="str">
        <f>"1996-09-20"</f>
        <v>1996-09-20</v>
      </c>
      <c r="G334" s="9"/>
    </row>
    <row r="335" spans="1:7" ht="13.5">
      <c r="A335" s="7">
        <v>333</v>
      </c>
      <c r="B335" s="8" t="str">
        <f>"2341202009021957281121"</f>
        <v>2341202009021957281121</v>
      </c>
      <c r="C335" s="8" t="s">
        <v>8</v>
      </c>
      <c r="D335" s="8" t="str">
        <f>"段爽"</f>
        <v>段爽</v>
      </c>
      <c r="E335" s="8" t="str">
        <f t="shared" si="12"/>
        <v>女</v>
      </c>
      <c r="F335" s="8" t="str">
        <f>"1990-01-11"</f>
        <v>1990-01-11</v>
      </c>
      <c r="G335" s="9"/>
    </row>
    <row r="336" spans="1:7" ht="13.5">
      <c r="A336" s="7">
        <v>334</v>
      </c>
      <c r="B336" s="8" t="str">
        <f>"2341202009022002301122"</f>
        <v>2341202009022002301122</v>
      </c>
      <c r="C336" s="8" t="s">
        <v>8</v>
      </c>
      <c r="D336" s="8" t="str">
        <f>"王祎"</f>
        <v>王祎</v>
      </c>
      <c r="E336" s="8" t="str">
        <f t="shared" si="12"/>
        <v>女</v>
      </c>
      <c r="F336" s="8" t="str">
        <f>"1993-06-08"</f>
        <v>1993-06-08</v>
      </c>
      <c r="G336" s="9"/>
    </row>
    <row r="337" spans="1:7" ht="13.5">
      <c r="A337" s="7">
        <v>335</v>
      </c>
      <c r="B337" s="8" t="str">
        <f>"2341202009022017111126"</f>
        <v>2341202009022017111126</v>
      </c>
      <c r="C337" s="8" t="s">
        <v>8</v>
      </c>
      <c r="D337" s="8" t="str">
        <f>"邓秋霞"</f>
        <v>邓秋霞</v>
      </c>
      <c r="E337" s="8" t="str">
        <f t="shared" si="12"/>
        <v>女</v>
      </c>
      <c r="F337" s="8" t="str">
        <f>"1994-11-25"</f>
        <v>1994-11-25</v>
      </c>
      <c r="G337" s="9"/>
    </row>
    <row r="338" spans="1:7" ht="13.5">
      <c r="A338" s="7">
        <v>336</v>
      </c>
      <c r="B338" s="8" t="str">
        <f>"2341202009022038481132"</f>
        <v>2341202009022038481132</v>
      </c>
      <c r="C338" s="8" t="s">
        <v>8</v>
      </c>
      <c r="D338" s="8" t="str">
        <f>"符策飞"</f>
        <v>符策飞</v>
      </c>
      <c r="E338" s="8" t="str">
        <f>"男"</f>
        <v>男</v>
      </c>
      <c r="F338" s="8" t="str">
        <f>"1986-01-05"</f>
        <v>1986-01-05</v>
      </c>
      <c r="G338" s="9"/>
    </row>
    <row r="339" spans="1:7" ht="13.5">
      <c r="A339" s="7">
        <v>337</v>
      </c>
      <c r="B339" s="8" t="str">
        <f>"2341202009022059431136"</f>
        <v>2341202009022059431136</v>
      </c>
      <c r="C339" s="8" t="s">
        <v>8</v>
      </c>
      <c r="D339" s="8" t="str">
        <f>"曾繁莉"</f>
        <v>曾繁莉</v>
      </c>
      <c r="E339" s="8" t="str">
        <f aca="true" t="shared" si="13" ref="E339:E367">"女"</f>
        <v>女</v>
      </c>
      <c r="F339" s="8" t="str">
        <f>"1991-10-15"</f>
        <v>1991-10-15</v>
      </c>
      <c r="G339" s="9"/>
    </row>
    <row r="340" spans="1:7" ht="13.5">
      <c r="A340" s="7">
        <v>338</v>
      </c>
      <c r="B340" s="8" t="str">
        <f>"2341202009022112391137"</f>
        <v>2341202009022112391137</v>
      </c>
      <c r="C340" s="8" t="s">
        <v>8</v>
      </c>
      <c r="D340" s="8" t="str">
        <f>"朱行莎"</f>
        <v>朱行莎</v>
      </c>
      <c r="E340" s="8" t="str">
        <f t="shared" si="13"/>
        <v>女</v>
      </c>
      <c r="F340" s="8" t="str">
        <f>"1998-04-28"</f>
        <v>1998-04-28</v>
      </c>
      <c r="G340" s="9"/>
    </row>
    <row r="341" spans="1:7" ht="13.5">
      <c r="A341" s="7">
        <v>339</v>
      </c>
      <c r="B341" s="8" t="str">
        <f>"2341202009022117101139"</f>
        <v>2341202009022117101139</v>
      </c>
      <c r="C341" s="8" t="s">
        <v>8</v>
      </c>
      <c r="D341" s="8" t="str">
        <f>"陈琼静"</f>
        <v>陈琼静</v>
      </c>
      <c r="E341" s="8" t="str">
        <f t="shared" si="13"/>
        <v>女</v>
      </c>
      <c r="F341" s="8" t="str">
        <f>"1995-12-19"</f>
        <v>1995-12-19</v>
      </c>
      <c r="G341" s="9"/>
    </row>
    <row r="342" spans="1:7" ht="13.5">
      <c r="A342" s="7">
        <v>340</v>
      </c>
      <c r="B342" s="8" t="str">
        <f>"2341202009022117231140"</f>
        <v>2341202009022117231140</v>
      </c>
      <c r="C342" s="8" t="s">
        <v>8</v>
      </c>
      <c r="D342" s="8" t="str">
        <f>"陈彬彬"</f>
        <v>陈彬彬</v>
      </c>
      <c r="E342" s="8" t="str">
        <f t="shared" si="13"/>
        <v>女</v>
      </c>
      <c r="F342" s="8" t="str">
        <f>"1990-10-18"</f>
        <v>1990-10-18</v>
      </c>
      <c r="G342" s="9"/>
    </row>
    <row r="343" spans="1:7" ht="13.5">
      <c r="A343" s="7">
        <v>341</v>
      </c>
      <c r="B343" s="8" t="str">
        <f>"2341202009022117321142"</f>
        <v>2341202009022117321142</v>
      </c>
      <c r="C343" s="8" t="s">
        <v>8</v>
      </c>
      <c r="D343" s="8" t="str">
        <f>"陈泳锡"</f>
        <v>陈泳锡</v>
      </c>
      <c r="E343" s="8" t="str">
        <f t="shared" si="13"/>
        <v>女</v>
      </c>
      <c r="F343" s="8" t="str">
        <f>"1998-10-28"</f>
        <v>1998-10-28</v>
      </c>
      <c r="G343" s="9"/>
    </row>
    <row r="344" spans="1:7" ht="13.5">
      <c r="A344" s="7">
        <v>342</v>
      </c>
      <c r="B344" s="8" t="str">
        <f>"2341202009022121561145"</f>
        <v>2341202009022121561145</v>
      </c>
      <c r="C344" s="8" t="s">
        <v>8</v>
      </c>
      <c r="D344" s="8" t="str">
        <f>"吴小燕"</f>
        <v>吴小燕</v>
      </c>
      <c r="E344" s="8" t="str">
        <f t="shared" si="13"/>
        <v>女</v>
      </c>
      <c r="F344" s="8" t="str">
        <f>"1992-04-02"</f>
        <v>1992-04-02</v>
      </c>
      <c r="G344" s="9"/>
    </row>
    <row r="345" spans="1:7" ht="13.5">
      <c r="A345" s="7">
        <v>343</v>
      </c>
      <c r="B345" s="8" t="str">
        <f>"2341202009022133411149"</f>
        <v>2341202009022133411149</v>
      </c>
      <c r="C345" s="8" t="s">
        <v>8</v>
      </c>
      <c r="D345" s="8" t="str">
        <f>"周雨"</f>
        <v>周雨</v>
      </c>
      <c r="E345" s="8" t="str">
        <f t="shared" si="13"/>
        <v>女</v>
      </c>
      <c r="F345" s="8" t="str">
        <f>"1994-06-23"</f>
        <v>1994-06-23</v>
      </c>
      <c r="G345" s="9"/>
    </row>
    <row r="346" spans="1:7" ht="13.5">
      <c r="A346" s="7">
        <v>344</v>
      </c>
      <c r="B346" s="8" t="str">
        <f>"2341202009022134341151"</f>
        <v>2341202009022134341151</v>
      </c>
      <c r="C346" s="8" t="s">
        <v>8</v>
      </c>
      <c r="D346" s="8" t="str">
        <f>"文丹"</f>
        <v>文丹</v>
      </c>
      <c r="E346" s="8" t="str">
        <f t="shared" si="13"/>
        <v>女</v>
      </c>
      <c r="F346" s="8" t="str">
        <f>"1990-09-04"</f>
        <v>1990-09-04</v>
      </c>
      <c r="G346" s="9"/>
    </row>
    <row r="347" spans="1:7" ht="13.5">
      <c r="A347" s="7">
        <v>345</v>
      </c>
      <c r="B347" s="8" t="str">
        <f>"2341202009022136381152"</f>
        <v>2341202009022136381152</v>
      </c>
      <c r="C347" s="8" t="s">
        <v>8</v>
      </c>
      <c r="D347" s="8" t="str">
        <f>"黎雅欣"</f>
        <v>黎雅欣</v>
      </c>
      <c r="E347" s="8" t="str">
        <f t="shared" si="13"/>
        <v>女</v>
      </c>
      <c r="F347" s="8" t="str">
        <f>"1996-09-08"</f>
        <v>1996-09-08</v>
      </c>
      <c r="G347" s="9"/>
    </row>
    <row r="348" spans="1:7" ht="13.5">
      <c r="A348" s="7">
        <v>346</v>
      </c>
      <c r="B348" s="8" t="str">
        <f>"2341202009022138521154"</f>
        <v>2341202009022138521154</v>
      </c>
      <c r="C348" s="8" t="s">
        <v>8</v>
      </c>
      <c r="D348" s="8" t="str">
        <f>"陈婉莉"</f>
        <v>陈婉莉</v>
      </c>
      <c r="E348" s="8" t="str">
        <f t="shared" si="13"/>
        <v>女</v>
      </c>
      <c r="F348" s="8" t="str">
        <f>"1993-09-23"</f>
        <v>1993-09-23</v>
      </c>
      <c r="G348" s="9"/>
    </row>
    <row r="349" spans="1:7" ht="13.5">
      <c r="A349" s="7">
        <v>347</v>
      </c>
      <c r="B349" s="8" t="str">
        <f>"2341202009022152351156"</f>
        <v>2341202009022152351156</v>
      </c>
      <c r="C349" s="8" t="s">
        <v>8</v>
      </c>
      <c r="D349" s="8" t="str">
        <f>"何薇"</f>
        <v>何薇</v>
      </c>
      <c r="E349" s="8" t="str">
        <f t="shared" si="13"/>
        <v>女</v>
      </c>
      <c r="F349" s="8" t="str">
        <f>"1997-03-29"</f>
        <v>1997-03-29</v>
      </c>
      <c r="G349" s="9"/>
    </row>
    <row r="350" spans="1:7" ht="13.5">
      <c r="A350" s="7">
        <v>348</v>
      </c>
      <c r="B350" s="8" t="str">
        <f>"2341202009022156531157"</f>
        <v>2341202009022156531157</v>
      </c>
      <c r="C350" s="8" t="s">
        <v>8</v>
      </c>
      <c r="D350" s="8" t="str">
        <f>"李丽那"</f>
        <v>李丽那</v>
      </c>
      <c r="E350" s="8" t="str">
        <f t="shared" si="13"/>
        <v>女</v>
      </c>
      <c r="F350" s="8" t="str">
        <f>"1988-03-20"</f>
        <v>1988-03-20</v>
      </c>
      <c r="G350" s="9"/>
    </row>
    <row r="351" spans="1:7" ht="13.5">
      <c r="A351" s="7">
        <v>349</v>
      </c>
      <c r="B351" s="8" t="str">
        <f>"2341202009022200181158"</f>
        <v>2341202009022200181158</v>
      </c>
      <c r="C351" s="8" t="s">
        <v>8</v>
      </c>
      <c r="D351" s="8" t="str">
        <f>"黄娓"</f>
        <v>黄娓</v>
      </c>
      <c r="E351" s="8" t="str">
        <f t="shared" si="13"/>
        <v>女</v>
      </c>
      <c r="F351" s="8" t="str">
        <f>"1994-12-10"</f>
        <v>1994-12-10</v>
      </c>
      <c r="G351" s="9"/>
    </row>
    <row r="352" spans="1:7" ht="13.5">
      <c r="A352" s="7">
        <v>350</v>
      </c>
      <c r="B352" s="8" t="str">
        <f>"2341202009022235141165"</f>
        <v>2341202009022235141165</v>
      </c>
      <c r="C352" s="8" t="s">
        <v>8</v>
      </c>
      <c r="D352" s="8" t="str">
        <f>"冯冠良"</f>
        <v>冯冠良</v>
      </c>
      <c r="E352" s="8" t="str">
        <f t="shared" si="13"/>
        <v>女</v>
      </c>
      <c r="F352" s="8" t="str">
        <f>"1995-05-02"</f>
        <v>1995-05-02</v>
      </c>
      <c r="G352" s="9"/>
    </row>
    <row r="353" spans="1:7" ht="13.5">
      <c r="A353" s="7">
        <v>351</v>
      </c>
      <c r="B353" s="8" t="str">
        <f>"2341202009022328221177"</f>
        <v>2341202009022328221177</v>
      </c>
      <c r="C353" s="8" t="s">
        <v>8</v>
      </c>
      <c r="D353" s="8" t="str">
        <f>"冯露"</f>
        <v>冯露</v>
      </c>
      <c r="E353" s="8" t="str">
        <f t="shared" si="13"/>
        <v>女</v>
      </c>
      <c r="F353" s="8" t="str">
        <f>"1993-06-07"</f>
        <v>1993-06-07</v>
      </c>
      <c r="G353" s="9"/>
    </row>
    <row r="354" spans="1:7" ht="13.5">
      <c r="A354" s="7">
        <v>352</v>
      </c>
      <c r="B354" s="8" t="str">
        <f>"2341202009022328541178"</f>
        <v>2341202009022328541178</v>
      </c>
      <c r="C354" s="8" t="s">
        <v>8</v>
      </c>
      <c r="D354" s="8" t="str">
        <f>"高晓梦"</f>
        <v>高晓梦</v>
      </c>
      <c r="E354" s="8" t="str">
        <f t="shared" si="13"/>
        <v>女</v>
      </c>
      <c r="F354" s="8" t="str">
        <f>"1998-11-18"</f>
        <v>1998-11-18</v>
      </c>
      <c r="G354" s="9"/>
    </row>
    <row r="355" spans="1:7" ht="13.5">
      <c r="A355" s="7">
        <v>353</v>
      </c>
      <c r="B355" s="8" t="str">
        <f>"2341202009022330521179"</f>
        <v>2341202009022330521179</v>
      </c>
      <c r="C355" s="8" t="s">
        <v>8</v>
      </c>
      <c r="D355" s="8" t="str">
        <f>"梁荣玲"</f>
        <v>梁荣玲</v>
      </c>
      <c r="E355" s="8" t="str">
        <f t="shared" si="13"/>
        <v>女</v>
      </c>
      <c r="F355" s="8" t="str">
        <f>"1998-05-16"</f>
        <v>1998-05-16</v>
      </c>
      <c r="G355" s="9"/>
    </row>
    <row r="356" spans="1:7" ht="13.5">
      <c r="A356" s="7">
        <v>354</v>
      </c>
      <c r="B356" s="8" t="str">
        <f>"2341202009022332431180"</f>
        <v>2341202009022332431180</v>
      </c>
      <c r="C356" s="8" t="s">
        <v>8</v>
      </c>
      <c r="D356" s="8" t="str">
        <f>"赵日绵"</f>
        <v>赵日绵</v>
      </c>
      <c r="E356" s="8" t="str">
        <f t="shared" si="13"/>
        <v>女</v>
      </c>
      <c r="F356" s="8" t="str">
        <f>"1997-07-13"</f>
        <v>1997-07-13</v>
      </c>
      <c r="G356" s="9"/>
    </row>
    <row r="357" spans="1:7" ht="13.5">
      <c r="A357" s="7">
        <v>355</v>
      </c>
      <c r="B357" s="8" t="str">
        <f>"2341202009022343161183"</f>
        <v>2341202009022343161183</v>
      </c>
      <c r="C357" s="8" t="s">
        <v>8</v>
      </c>
      <c r="D357" s="8" t="str">
        <f>"王延"</f>
        <v>王延</v>
      </c>
      <c r="E357" s="8" t="str">
        <f t="shared" si="13"/>
        <v>女</v>
      </c>
      <c r="F357" s="8" t="str">
        <f>"1996-03-14"</f>
        <v>1996-03-14</v>
      </c>
      <c r="G357" s="9"/>
    </row>
    <row r="358" spans="1:7" ht="13.5">
      <c r="A358" s="7">
        <v>356</v>
      </c>
      <c r="B358" s="8" t="str">
        <f>"2341202009030000591185"</f>
        <v>2341202009030000591185</v>
      </c>
      <c r="C358" s="8" t="s">
        <v>8</v>
      </c>
      <c r="D358" s="8" t="str">
        <f>"刘丽"</f>
        <v>刘丽</v>
      </c>
      <c r="E358" s="8" t="str">
        <f t="shared" si="13"/>
        <v>女</v>
      </c>
      <c r="F358" s="8" t="str">
        <f>"1995-03-17"</f>
        <v>1995-03-17</v>
      </c>
      <c r="G358" s="9"/>
    </row>
    <row r="359" spans="1:7" ht="13.5">
      <c r="A359" s="7">
        <v>357</v>
      </c>
      <c r="B359" s="8" t="str">
        <f>"2341202009030017541186"</f>
        <v>2341202009030017541186</v>
      </c>
      <c r="C359" s="8" t="s">
        <v>8</v>
      </c>
      <c r="D359" s="8" t="str">
        <f>"罗玲玲"</f>
        <v>罗玲玲</v>
      </c>
      <c r="E359" s="8" t="str">
        <f t="shared" si="13"/>
        <v>女</v>
      </c>
      <c r="F359" s="8" t="str">
        <f>"1995-05-18"</f>
        <v>1995-05-18</v>
      </c>
      <c r="G359" s="9"/>
    </row>
    <row r="360" spans="1:7" ht="13.5">
      <c r="A360" s="7">
        <v>358</v>
      </c>
      <c r="B360" s="8" t="str">
        <f>"2341202009030036551187"</f>
        <v>2341202009030036551187</v>
      </c>
      <c r="C360" s="8" t="s">
        <v>8</v>
      </c>
      <c r="D360" s="8" t="str">
        <f>"符秋艳"</f>
        <v>符秋艳</v>
      </c>
      <c r="E360" s="8" t="str">
        <f t="shared" si="13"/>
        <v>女</v>
      </c>
      <c r="F360" s="8" t="str">
        <f>"1997-10-21"</f>
        <v>1997-10-21</v>
      </c>
      <c r="G360" s="9"/>
    </row>
    <row r="361" spans="1:7" ht="13.5">
      <c r="A361" s="7">
        <v>359</v>
      </c>
      <c r="B361" s="8" t="str">
        <f>"2341202009030643031189"</f>
        <v>2341202009030643031189</v>
      </c>
      <c r="C361" s="8" t="s">
        <v>8</v>
      </c>
      <c r="D361" s="8" t="str">
        <f>"黄赛惋"</f>
        <v>黄赛惋</v>
      </c>
      <c r="E361" s="8" t="str">
        <f t="shared" si="13"/>
        <v>女</v>
      </c>
      <c r="F361" s="8" t="str">
        <f>"1994-10-03"</f>
        <v>1994-10-03</v>
      </c>
      <c r="G361" s="9"/>
    </row>
    <row r="362" spans="1:7" ht="13.5">
      <c r="A362" s="7">
        <v>360</v>
      </c>
      <c r="B362" s="8" t="str">
        <f>"2341202009030807261190"</f>
        <v>2341202009030807261190</v>
      </c>
      <c r="C362" s="8" t="s">
        <v>8</v>
      </c>
      <c r="D362" s="8" t="str">
        <f>"王春燕"</f>
        <v>王春燕</v>
      </c>
      <c r="E362" s="8" t="str">
        <f t="shared" si="13"/>
        <v>女</v>
      </c>
      <c r="F362" s="8" t="str">
        <f>"1985-04-13"</f>
        <v>1985-04-13</v>
      </c>
      <c r="G362" s="9"/>
    </row>
    <row r="363" spans="1:7" ht="13.5">
      <c r="A363" s="7">
        <v>361</v>
      </c>
      <c r="B363" s="8" t="str">
        <f>"2341202009030818531191"</f>
        <v>2341202009030818531191</v>
      </c>
      <c r="C363" s="8" t="s">
        <v>8</v>
      </c>
      <c r="D363" s="8" t="str">
        <f>"王俏俏"</f>
        <v>王俏俏</v>
      </c>
      <c r="E363" s="8" t="str">
        <f t="shared" si="13"/>
        <v>女</v>
      </c>
      <c r="F363" s="8" t="str">
        <f>"1993-10-02"</f>
        <v>1993-10-02</v>
      </c>
      <c r="G363" s="9"/>
    </row>
    <row r="364" spans="1:7" ht="13.5">
      <c r="A364" s="7">
        <v>362</v>
      </c>
      <c r="B364" s="8" t="str">
        <f>"2341202009030835531192"</f>
        <v>2341202009030835531192</v>
      </c>
      <c r="C364" s="8" t="s">
        <v>8</v>
      </c>
      <c r="D364" s="8" t="str">
        <f>"翁玉馨"</f>
        <v>翁玉馨</v>
      </c>
      <c r="E364" s="8" t="str">
        <f t="shared" si="13"/>
        <v>女</v>
      </c>
      <c r="F364" s="8" t="str">
        <f>"1994-11-22"</f>
        <v>1994-11-22</v>
      </c>
      <c r="G364" s="9"/>
    </row>
    <row r="365" spans="1:7" ht="13.5">
      <c r="A365" s="7">
        <v>363</v>
      </c>
      <c r="B365" s="8" t="str">
        <f>"2341202009030838541193"</f>
        <v>2341202009030838541193</v>
      </c>
      <c r="C365" s="8" t="s">
        <v>8</v>
      </c>
      <c r="D365" s="8" t="str">
        <f>"张蓝文"</f>
        <v>张蓝文</v>
      </c>
      <c r="E365" s="8" t="str">
        <f t="shared" si="13"/>
        <v>女</v>
      </c>
      <c r="F365" s="8" t="str">
        <f>"1996-02-13"</f>
        <v>1996-02-13</v>
      </c>
      <c r="G365" s="9"/>
    </row>
    <row r="366" spans="1:7" ht="13.5">
      <c r="A366" s="7">
        <v>364</v>
      </c>
      <c r="B366" s="8" t="str">
        <f>"2341202009030844181195"</f>
        <v>2341202009030844181195</v>
      </c>
      <c r="C366" s="8" t="s">
        <v>8</v>
      </c>
      <c r="D366" s="8" t="str">
        <f>"陈灵"</f>
        <v>陈灵</v>
      </c>
      <c r="E366" s="8" t="str">
        <f t="shared" si="13"/>
        <v>女</v>
      </c>
      <c r="F366" s="8" t="str">
        <f>"1992-05-26"</f>
        <v>1992-05-26</v>
      </c>
      <c r="G366" s="9"/>
    </row>
    <row r="367" spans="1:7" ht="13.5">
      <c r="A367" s="7">
        <v>365</v>
      </c>
      <c r="B367" s="8" t="str">
        <f>"2341202009030901441197"</f>
        <v>2341202009030901441197</v>
      </c>
      <c r="C367" s="8" t="s">
        <v>8</v>
      </c>
      <c r="D367" s="8" t="str">
        <f>"邢嘉嘉"</f>
        <v>邢嘉嘉</v>
      </c>
      <c r="E367" s="8" t="str">
        <f t="shared" si="13"/>
        <v>女</v>
      </c>
      <c r="F367" s="8" t="str">
        <f>"1990-08-23"</f>
        <v>1990-08-23</v>
      </c>
      <c r="G367" s="9"/>
    </row>
    <row r="368" spans="1:7" ht="13.5">
      <c r="A368" s="7">
        <v>366</v>
      </c>
      <c r="B368" s="8" t="str">
        <f>"2341202009030929501203"</f>
        <v>2341202009030929501203</v>
      </c>
      <c r="C368" s="8" t="s">
        <v>8</v>
      </c>
      <c r="D368" s="8" t="str">
        <f>"王豪杰"</f>
        <v>王豪杰</v>
      </c>
      <c r="E368" s="8" t="str">
        <f>"男"</f>
        <v>男</v>
      </c>
      <c r="F368" s="8" t="str">
        <f>"1992-01-22"</f>
        <v>1992-01-22</v>
      </c>
      <c r="G368" s="9"/>
    </row>
    <row r="369" spans="1:7" ht="13.5">
      <c r="A369" s="7">
        <v>367</v>
      </c>
      <c r="B369" s="8" t="str">
        <f>"2341202009030930191204"</f>
        <v>2341202009030930191204</v>
      </c>
      <c r="C369" s="8" t="s">
        <v>8</v>
      </c>
      <c r="D369" s="8" t="str">
        <f>"陈艺凤"</f>
        <v>陈艺凤</v>
      </c>
      <c r="E369" s="8" t="str">
        <f>"女"</f>
        <v>女</v>
      </c>
      <c r="F369" s="8" t="str">
        <f>"1997-03-04"</f>
        <v>1997-03-04</v>
      </c>
      <c r="G369" s="9"/>
    </row>
    <row r="370" spans="1:7" ht="13.5">
      <c r="A370" s="7">
        <v>368</v>
      </c>
      <c r="B370" s="8" t="str">
        <f>"2341202009030948271207"</f>
        <v>2341202009030948271207</v>
      </c>
      <c r="C370" s="8" t="s">
        <v>8</v>
      </c>
      <c r="D370" s="8" t="str">
        <f>"李思谕"</f>
        <v>李思谕</v>
      </c>
      <c r="E370" s="8" t="str">
        <f>"女"</f>
        <v>女</v>
      </c>
      <c r="F370" s="8" t="str">
        <f>"1996-08-08"</f>
        <v>1996-08-08</v>
      </c>
      <c r="G370" s="9"/>
    </row>
    <row r="371" spans="1:7" ht="13.5">
      <c r="A371" s="7">
        <v>369</v>
      </c>
      <c r="B371" s="8" t="str">
        <f>"2341202009030953221209"</f>
        <v>2341202009030953221209</v>
      </c>
      <c r="C371" s="8" t="s">
        <v>8</v>
      </c>
      <c r="D371" s="8" t="str">
        <f>"黎婷婷"</f>
        <v>黎婷婷</v>
      </c>
      <c r="E371" s="8" t="str">
        <f>"女"</f>
        <v>女</v>
      </c>
      <c r="F371" s="8" t="str">
        <f>"1996-01-12"</f>
        <v>1996-01-12</v>
      </c>
      <c r="G371" s="9"/>
    </row>
    <row r="372" spans="1:7" ht="13.5">
      <c r="A372" s="7">
        <v>370</v>
      </c>
      <c r="B372" s="8" t="str">
        <f>"2341202009030954031210"</f>
        <v>2341202009030954031210</v>
      </c>
      <c r="C372" s="8" t="s">
        <v>8</v>
      </c>
      <c r="D372" s="8" t="str">
        <f>"卓毛朝"</f>
        <v>卓毛朝</v>
      </c>
      <c r="E372" s="8" t="str">
        <f>"男"</f>
        <v>男</v>
      </c>
      <c r="F372" s="8" t="str">
        <f>"1991-08-10"</f>
        <v>1991-08-10</v>
      </c>
      <c r="G372" s="9"/>
    </row>
    <row r="373" spans="1:7" ht="13.5">
      <c r="A373" s="7">
        <v>371</v>
      </c>
      <c r="B373" s="8" t="str">
        <f>"2341202009031008491214"</f>
        <v>2341202009031008491214</v>
      </c>
      <c r="C373" s="8" t="s">
        <v>8</v>
      </c>
      <c r="D373" s="8" t="str">
        <f>"王康蜜"</f>
        <v>王康蜜</v>
      </c>
      <c r="E373" s="8" t="str">
        <f aca="true" t="shared" si="14" ref="E373:E380">"女"</f>
        <v>女</v>
      </c>
      <c r="F373" s="8" t="str">
        <f>"1995-11-03"</f>
        <v>1995-11-03</v>
      </c>
      <c r="G373" s="9"/>
    </row>
    <row r="374" spans="1:7" ht="13.5">
      <c r="A374" s="7">
        <v>372</v>
      </c>
      <c r="B374" s="8" t="str">
        <f>"2341202009031017291223"</f>
        <v>2341202009031017291223</v>
      </c>
      <c r="C374" s="8" t="s">
        <v>8</v>
      </c>
      <c r="D374" s="8" t="str">
        <f>"林之宜"</f>
        <v>林之宜</v>
      </c>
      <c r="E374" s="8" t="str">
        <f t="shared" si="14"/>
        <v>女</v>
      </c>
      <c r="F374" s="8" t="str">
        <f>"1997-03-20"</f>
        <v>1997-03-20</v>
      </c>
      <c r="G374" s="9"/>
    </row>
    <row r="375" spans="1:7" ht="13.5">
      <c r="A375" s="7">
        <v>373</v>
      </c>
      <c r="B375" s="8" t="str">
        <f>"2341202009031035211227"</f>
        <v>2341202009031035211227</v>
      </c>
      <c r="C375" s="8" t="s">
        <v>8</v>
      </c>
      <c r="D375" s="8" t="str">
        <f>"符陈静"</f>
        <v>符陈静</v>
      </c>
      <c r="E375" s="8" t="str">
        <f t="shared" si="14"/>
        <v>女</v>
      </c>
      <c r="F375" s="8" t="str">
        <f>"1997-05-16"</f>
        <v>1997-05-16</v>
      </c>
      <c r="G375" s="9"/>
    </row>
    <row r="376" spans="1:7" ht="13.5">
      <c r="A376" s="7">
        <v>374</v>
      </c>
      <c r="B376" s="8" t="str">
        <f>"2341202009031042261228"</f>
        <v>2341202009031042261228</v>
      </c>
      <c r="C376" s="8" t="s">
        <v>8</v>
      </c>
      <c r="D376" s="8" t="str">
        <f>"陈琳琳"</f>
        <v>陈琳琳</v>
      </c>
      <c r="E376" s="8" t="str">
        <f t="shared" si="14"/>
        <v>女</v>
      </c>
      <c r="F376" s="8" t="str">
        <f>"1997-05-08"</f>
        <v>1997-05-08</v>
      </c>
      <c r="G376" s="9"/>
    </row>
    <row r="377" spans="1:7" ht="13.5">
      <c r="A377" s="7">
        <v>375</v>
      </c>
      <c r="B377" s="8" t="str">
        <f>"2341202009031047461231"</f>
        <v>2341202009031047461231</v>
      </c>
      <c r="C377" s="8" t="s">
        <v>8</v>
      </c>
      <c r="D377" s="8" t="str">
        <f>"高林鲜"</f>
        <v>高林鲜</v>
      </c>
      <c r="E377" s="8" t="str">
        <f t="shared" si="14"/>
        <v>女</v>
      </c>
      <c r="F377" s="8" t="str">
        <f>"1991-06-16"</f>
        <v>1991-06-16</v>
      </c>
      <c r="G377" s="9"/>
    </row>
    <row r="378" spans="1:7" ht="13.5">
      <c r="A378" s="7">
        <v>376</v>
      </c>
      <c r="B378" s="8" t="str">
        <f>"2341202009031053251232"</f>
        <v>2341202009031053251232</v>
      </c>
      <c r="C378" s="8" t="s">
        <v>8</v>
      </c>
      <c r="D378" s="8" t="str">
        <f>"黄卓丽"</f>
        <v>黄卓丽</v>
      </c>
      <c r="E378" s="8" t="str">
        <f t="shared" si="14"/>
        <v>女</v>
      </c>
      <c r="F378" s="8" t="str">
        <f>"1992-08-01"</f>
        <v>1992-08-01</v>
      </c>
      <c r="G378" s="9"/>
    </row>
    <row r="379" spans="1:7" ht="13.5">
      <c r="A379" s="7">
        <v>377</v>
      </c>
      <c r="B379" s="8" t="str">
        <f>"2341202009031103371237"</f>
        <v>2341202009031103371237</v>
      </c>
      <c r="C379" s="8" t="s">
        <v>8</v>
      </c>
      <c r="D379" s="8" t="str">
        <f>"谭亿肖"</f>
        <v>谭亿肖</v>
      </c>
      <c r="E379" s="8" t="str">
        <f t="shared" si="14"/>
        <v>女</v>
      </c>
      <c r="F379" s="8" t="str">
        <f>"1995-07-21"</f>
        <v>1995-07-21</v>
      </c>
      <c r="G379" s="9"/>
    </row>
    <row r="380" spans="1:7" ht="13.5">
      <c r="A380" s="7">
        <v>378</v>
      </c>
      <c r="B380" s="8" t="str">
        <f>"2341202009031158511254"</f>
        <v>2341202009031158511254</v>
      </c>
      <c r="C380" s="8" t="s">
        <v>8</v>
      </c>
      <c r="D380" s="8" t="str">
        <f>"符彩燕"</f>
        <v>符彩燕</v>
      </c>
      <c r="E380" s="8" t="str">
        <f t="shared" si="14"/>
        <v>女</v>
      </c>
      <c r="F380" s="8" t="str">
        <f>"1992-04-16"</f>
        <v>1992-04-16</v>
      </c>
      <c r="G380" s="9"/>
    </row>
    <row r="381" spans="1:7" ht="13.5">
      <c r="A381" s="7">
        <v>379</v>
      </c>
      <c r="B381" s="8" t="str">
        <f>"2341202009031208511257"</f>
        <v>2341202009031208511257</v>
      </c>
      <c r="C381" s="8" t="s">
        <v>8</v>
      </c>
      <c r="D381" s="8" t="str">
        <f>"符乃仁"</f>
        <v>符乃仁</v>
      </c>
      <c r="E381" s="8" t="str">
        <f>"男"</f>
        <v>男</v>
      </c>
      <c r="F381" s="8" t="str">
        <f>"1994-11-09"</f>
        <v>1994-11-09</v>
      </c>
      <c r="G381" s="9"/>
    </row>
    <row r="382" spans="1:7" ht="13.5">
      <c r="A382" s="7">
        <v>380</v>
      </c>
      <c r="B382" s="8" t="str">
        <f>"2341202009031227311261"</f>
        <v>2341202009031227311261</v>
      </c>
      <c r="C382" s="8" t="s">
        <v>8</v>
      </c>
      <c r="D382" s="8" t="str">
        <f>"李丽云"</f>
        <v>李丽云</v>
      </c>
      <c r="E382" s="8" t="str">
        <f aca="true" t="shared" si="15" ref="E382:E406">"女"</f>
        <v>女</v>
      </c>
      <c r="F382" s="8" t="str">
        <f>"1990-01-17"</f>
        <v>1990-01-17</v>
      </c>
      <c r="G382" s="9"/>
    </row>
    <row r="383" spans="1:7" ht="13.5">
      <c r="A383" s="7">
        <v>381</v>
      </c>
      <c r="B383" s="8" t="str">
        <f>"2341202009031251541268"</f>
        <v>2341202009031251541268</v>
      </c>
      <c r="C383" s="8" t="s">
        <v>8</v>
      </c>
      <c r="D383" s="8" t="str">
        <f>"陈玉洁"</f>
        <v>陈玉洁</v>
      </c>
      <c r="E383" s="8" t="str">
        <f t="shared" si="15"/>
        <v>女</v>
      </c>
      <c r="F383" s="8" t="str">
        <f>"1996-12-17"</f>
        <v>1996-12-17</v>
      </c>
      <c r="G383" s="9"/>
    </row>
    <row r="384" spans="1:7" ht="13.5">
      <c r="A384" s="7">
        <v>382</v>
      </c>
      <c r="B384" s="8" t="str">
        <f>"2341202009031301111270"</f>
        <v>2341202009031301111270</v>
      </c>
      <c r="C384" s="8" t="s">
        <v>8</v>
      </c>
      <c r="D384" s="8" t="str">
        <f>"冯南"</f>
        <v>冯南</v>
      </c>
      <c r="E384" s="8" t="str">
        <f t="shared" si="15"/>
        <v>女</v>
      </c>
      <c r="F384" s="8" t="str">
        <f>"1996-02-21"</f>
        <v>1996-02-21</v>
      </c>
      <c r="G384" s="9"/>
    </row>
    <row r="385" spans="1:7" ht="13.5">
      <c r="A385" s="7">
        <v>383</v>
      </c>
      <c r="B385" s="8" t="str">
        <f>"2341202009031302381271"</f>
        <v>2341202009031302381271</v>
      </c>
      <c r="C385" s="8" t="s">
        <v>8</v>
      </c>
      <c r="D385" s="8" t="str">
        <f>"唐聪霞"</f>
        <v>唐聪霞</v>
      </c>
      <c r="E385" s="8" t="str">
        <f t="shared" si="15"/>
        <v>女</v>
      </c>
      <c r="F385" s="8" t="str">
        <f>"1992-02-23"</f>
        <v>1992-02-23</v>
      </c>
      <c r="G385" s="9"/>
    </row>
    <row r="386" spans="1:7" ht="13.5">
      <c r="A386" s="7">
        <v>384</v>
      </c>
      <c r="B386" s="8" t="str">
        <f>"2341202009031316321275"</f>
        <v>2341202009031316321275</v>
      </c>
      <c r="C386" s="8" t="s">
        <v>8</v>
      </c>
      <c r="D386" s="8" t="str">
        <f>"杨冬菊"</f>
        <v>杨冬菊</v>
      </c>
      <c r="E386" s="8" t="str">
        <f t="shared" si="15"/>
        <v>女</v>
      </c>
      <c r="F386" s="8" t="str">
        <f>"1994-12-14"</f>
        <v>1994-12-14</v>
      </c>
      <c r="G386" s="9"/>
    </row>
    <row r="387" spans="1:7" ht="13.5">
      <c r="A387" s="7">
        <v>385</v>
      </c>
      <c r="B387" s="8" t="str">
        <f>"2341202009031439211288"</f>
        <v>2341202009031439211288</v>
      </c>
      <c r="C387" s="8" t="s">
        <v>8</v>
      </c>
      <c r="D387" s="8" t="str">
        <f>"薛琦璐"</f>
        <v>薛琦璐</v>
      </c>
      <c r="E387" s="8" t="str">
        <f t="shared" si="15"/>
        <v>女</v>
      </c>
      <c r="F387" s="8" t="str">
        <f>"1991-01-08"</f>
        <v>1991-01-08</v>
      </c>
      <c r="G387" s="9"/>
    </row>
    <row r="388" spans="1:7" ht="13.5">
      <c r="A388" s="7">
        <v>386</v>
      </c>
      <c r="B388" s="8" t="str">
        <f>"2341202009031444231291"</f>
        <v>2341202009031444231291</v>
      </c>
      <c r="C388" s="8" t="s">
        <v>8</v>
      </c>
      <c r="D388" s="8" t="str">
        <f>"李馨云"</f>
        <v>李馨云</v>
      </c>
      <c r="E388" s="8" t="str">
        <f t="shared" si="15"/>
        <v>女</v>
      </c>
      <c r="F388" s="8" t="str">
        <f>"1997-05-12"</f>
        <v>1997-05-12</v>
      </c>
      <c r="G388" s="9"/>
    </row>
    <row r="389" spans="1:7" ht="13.5">
      <c r="A389" s="7">
        <v>387</v>
      </c>
      <c r="B389" s="8" t="str">
        <f>"2341202009031444281292"</f>
        <v>2341202009031444281292</v>
      </c>
      <c r="C389" s="8" t="s">
        <v>8</v>
      </c>
      <c r="D389" s="8" t="str">
        <f>"张自敏"</f>
        <v>张自敏</v>
      </c>
      <c r="E389" s="8" t="str">
        <f t="shared" si="15"/>
        <v>女</v>
      </c>
      <c r="F389" s="8" t="str">
        <f>"1993-08-23"</f>
        <v>1993-08-23</v>
      </c>
      <c r="G389" s="9"/>
    </row>
    <row r="390" spans="1:7" ht="13.5">
      <c r="A390" s="7">
        <v>388</v>
      </c>
      <c r="B390" s="8" t="str">
        <f>"2341202009031447101293"</f>
        <v>2341202009031447101293</v>
      </c>
      <c r="C390" s="8" t="s">
        <v>8</v>
      </c>
      <c r="D390" s="8" t="str">
        <f>"叶春伶"</f>
        <v>叶春伶</v>
      </c>
      <c r="E390" s="8" t="str">
        <f t="shared" si="15"/>
        <v>女</v>
      </c>
      <c r="F390" s="8" t="str">
        <f>"1996-06-20"</f>
        <v>1996-06-20</v>
      </c>
      <c r="G390" s="9"/>
    </row>
    <row r="391" spans="1:7" ht="13.5">
      <c r="A391" s="7">
        <v>389</v>
      </c>
      <c r="B391" s="8" t="str">
        <f>"2341202009031528551298"</f>
        <v>2341202009031528551298</v>
      </c>
      <c r="C391" s="8" t="s">
        <v>8</v>
      </c>
      <c r="D391" s="8" t="str">
        <f>"陈盛兰"</f>
        <v>陈盛兰</v>
      </c>
      <c r="E391" s="8" t="str">
        <f t="shared" si="15"/>
        <v>女</v>
      </c>
      <c r="F391" s="8" t="str">
        <f>"1995-09-13"</f>
        <v>1995-09-13</v>
      </c>
      <c r="G391" s="9"/>
    </row>
    <row r="392" spans="1:7" ht="13.5">
      <c r="A392" s="7">
        <v>390</v>
      </c>
      <c r="B392" s="8" t="str">
        <f>"2341202009031548271301"</f>
        <v>2341202009031548271301</v>
      </c>
      <c r="C392" s="8" t="s">
        <v>8</v>
      </c>
      <c r="D392" s="8" t="str">
        <f>"刘雪玲"</f>
        <v>刘雪玲</v>
      </c>
      <c r="E392" s="8" t="str">
        <f t="shared" si="15"/>
        <v>女</v>
      </c>
      <c r="F392" s="8" t="str">
        <f>"1997-01-07"</f>
        <v>1997-01-07</v>
      </c>
      <c r="G392" s="9"/>
    </row>
    <row r="393" spans="1:7" ht="13.5">
      <c r="A393" s="7">
        <v>391</v>
      </c>
      <c r="B393" s="8" t="str">
        <f>"2341202009031611321309"</f>
        <v>2341202009031611321309</v>
      </c>
      <c r="C393" s="8" t="s">
        <v>8</v>
      </c>
      <c r="D393" s="8" t="str">
        <f>"连蕾"</f>
        <v>连蕾</v>
      </c>
      <c r="E393" s="8" t="str">
        <f t="shared" si="15"/>
        <v>女</v>
      </c>
      <c r="F393" s="8" t="str">
        <f>"1990-10-20"</f>
        <v>1990-10-20</v>
      </c>
      <c r="G393" s="9"/>
    </row>
    <row r="394" spans="1:7" ht="13.5">
      <c r="A394" s="7">
        <v>392</v>
      </c>
      <c r="B394" s="8" t="str">
        <f>"2341202009031613401310"</f>
        <v>2341202009031613401310</v>
      </c>
      <c r="C394" s="8" t="s">
        <v>8</v>
      </c>
      <c r="D394" s="8" t="str">
        <f>"陈健"</f>
        <v>陈健</v>
      </c>
      <c r="E394" s="8" t="str">
        <f t="shared" si="15"/>
        <v>女</v>
      </c>
      <c r="F394" s="8" t="str">
        <f>"1997-10-20"</f>
        <v>1997-10-20</v>
      </c>
      <c r="G394" s="9"/>
    </row>
    <row r="395" spans="1:7" ht="13.5">
      <c r="A395" s="7">
        <v>393</v>
      </c>
      <c r="B395" s="8" t="str">
        <f>"2341202009031656591325"</f>
        <v>2341202009031656591325</v>
      </c>
      <c r="C395" s="8" t="s">
        <v>8</v>
      </c>
      <c r="D395" s="8" t="str">
        <f>"张锦珊"</f>
        <v>张锦珊</v>
      </c>
      <c r="E395" s="8" t="str">
        <f t="shared" si="15"/>
        <v>女</v>
      </c>
      <c r="F395" s="8" t="str">
        <f>"1996-02-27"</f>
        <v>1996-02-27</v>
      </c>
      <c r="G395" s="9"/>
    </row>
    <row r="396" spans="1:7" ht="13.5">
      <c r="A396" s="7">
        <v>394</v>
      </c>
      <c r="B396" s="8" t="str">
        <f>"2341202009031720571334"</f>
        <v>2341202009031720571334</v>
      </c>
      <c r="C396" s="8" t="s">
        <v>8</v>
      </c>
      <c r="D396" s="8" t="str">
        <f>"郭江丹"</f>
        <v>郭江丹</v>
      </c>
      <c r="E396" s="8" t="str">
        <f t="shared" si="15"/>
        <v>女</v>
      </c>
      <c r="F396" s="8" t="str">
        <f>"1996-05-24"</f>
        <v>1996-05-24</v>
      </c>
      <c r="G396" s="9"/>
    </row>
    <row r="397" spans="1:7" ht="13.5">
      <c r="A397" s="7">
        <v>395</v>
      </c>
      <c r="B397" s="8" t="str">
        <f>"2341202009031732571340"</f>
        <v>2341202009031732571340</v>
      </c>
      <c r="C397" s="8" t="s">
        <v>8</v>
      </c>
      <c r="D397" s="8" t="str">
        <f>"符钰月"</f>
        <v>符钰月</v>
      </c>
      <c r="E397" s="8" t="str">
        <f t="shared" si="15"/>
        <v>女</v>
      </c>
      <c r="F397" s="8" t="str">
        <f>"1992-04-03"</f>
        <v>1992-04-03</v>
      </c>
      <c r="G397" s="9"/>
    </row>
    <row r="398" spans="1:7" ht="13.5">
      <c r="A398" s="7">
        <v>396</v>
      </c>
      <c r="B398" s="8" t="str">
        <f>"2341202009031742301342"</f>
        <v>2341202009031742301342</v>
      </c>
      <c r="C398" s="8" t="s">
        <v>8</v>
      </c>
      <c r="D398" s="8" t="str">
        <f>"张奕奕"</f>
        <v>张奕奕</v>
      </c>
      <c r="E398" s="8" t="str">
        <f t="shared" si="15"/>
        <v>女</v>
      </c>
      <c r="F398" s="8" t="str">
        <f>"1995-07-01"</f>
        <v>1995-07-01</v>
      </c>
      <c r="G398" s="9"/>
    </row>
    <row r="399" spans="1:7" ht="13.5">
      <c r="A399" s="7">
        <v>397</v>
      </c>
      <c r="B399" s="8" t="str">
        <f>"2341202009031743301343"</f>
        <v>2341202009031743301343</v>
      </c>
      <c r="C399" s="8" t="s">
        <v>8</v>
      </c>
      <c r="D399" s="8" t="str">
        <f>"陈玲"</f>
        <v>陈玲</v>
      </c>
      <c r="E399" s="8" t="str">
        <f t="shared" si="15"/>
        <v>女</v>
      </c>
      <c r="F399" s="8" t="str">
        <f>"1996-06-23"</f>
        <v>1996-06-23</v>
      </c>
      <c r="G399" s="9"/>
    </row>
    <row r="400" spans="1:7" ht="13.5">
      <c r="A400" s="7">
        <v>398</v>
      </c>
      <c r="B400" s="8" t="str">
        <f>"2341202009031759271345"</f>
        <v>2341202009031759271345</v>
      </c>
      <c r="C400" s="8" t="s">
        <v>8</v>
      </c>
      <c r="D400" s="8" t="str">
        <f>"王妍人"</f>
        <v>王妍人</v>
      </c>
      <c r="E400" s="8" t="str">
        <f t="shared" si="15"/>
        <v>女</v>
      </c>
      <c r="F400" s="8" t="str">
        <f>"1996-01-20"</f>
        <v>1996-01-20</v>
      </c>
      <c r="G400" s="9"/>
    </row>
    <row r="401" spans="1:7" ht="13.5">
      <c r="A401" s="7">
        <v>399</v>
      </c>
      <c r="B401" s="8" t="str">
        <f>"2341202009031803401347"</f>
        <v>2341202009031803401347</v>
      </c>
      <c r="C401" s="8" t="s">
        <v>8</v>
      </c>
      <c r="D401" s="8" t="str">
        <f>"方怡"</f>
        <v>方怡</v>
      </c>
      <c r="E401" s="8" t="str">
        <f t="shared" si="15"/>
        <v>女</v>
      </c>
      <c r="F401" s="8" t="str">
        <f>"1991-04-02"</f>
        <v>1991-04-02</v>
      </c>
      <c r="G401" s="9"/>
    </row>
    <row r="402" spans="1:7" ht="13.5">
      <c r="A402" s="7">
        <v>400</v>
      </c>
      <c r="B402" s="8" t="str">
        <f>"2341202009031807461348"</f>
        <v>2341202009031807461348</v>
      </c>
      <c r="C402" s="8" t="s">
        <v>8</v>
      </c>
      <c r="D402" s="8" t="str">
        <f>"张海英"</f>
        <v>张海英</v>
      </c>
      <c r="E402" s="8" t="str">
        <f t="shared" si="15"/>
        <v>女</v>
      </c>
      <c r="F402" s="8" t="str">
        <f>"1994-03-10"</f>
        <v>1994-03-10</v>
      </c>
      <c r="G402" s="9"/>
    </row>
    <row r="403" spans="1:7" ht="13.5">
      <c r="A403" s="7">
        <v>401</v>
      </c>
      <c r="B403" s="8" t="str">
        <f>"2341202009031810161349"</f>
        <v>2341202009031810161349</v>
      </c>
      <c r="C403" s="8" t="s">
        <v>8</v>
      </c>
      <c r="D403" s="8" t="str">
        <f>"戴淑玲"</f>
        <v>戴淑玲</v>
      </c>
      <c r="E403" s="8" t="str">
        <f t="shared" si="15"/>
        <v>女</v>
      </c>
      <c r="F403" s="8" t="str">
        <f>"1997-04-23"</f>
        <v>1997-04-23</v>
      </c>
      <c r="G403" s="9"/>
    </row>
    <row r="404" spans="1:7" ht="13.5">
      <c r="A404" s="7">
        <v>402</v>
      </c>
      <c r="B404" s="8" t="str">
        <f>"2341202009031821071351"</f>
        <v>2341202009031821071351</v>
      </c>
      <c r="C404" s="8" t="s">
        <v>8</v>
      </c>
      <c r="D404" s="8" t="str">
        <f>"黄燕蕊"</f>
        <v>黄燕蕊</v>
      </c>
      <c r="E404" s="8" t="str">
        <f t="shared" si="15"/>
        <v>女</v>
      </c>
      <c r="F404" s="8" t="str">
        <f>"1994-07-20"</f>
        <v>1994-07-20</v>
      </c>
      <c r="G404" s="9"/>
    </row>
    <row r="405" spans="1:7" ht="13.5">
      <c r="A405" s="7">
        <v>403</v>
      </c>
      <c r="B405" s="8" t="str">
        <f>"2341202009031841421355"</f>
        <v>2341202009031841421355</v>
      </c>
      <c r="C405" s="8" t="s">
        <v>8</v>
      </c>
      <c r="D405" s="8" t="str">
        <f>"卢周莹"</f>
        <v>卢周莹</v>
      </c>
      <c r="E405" s="8" t="str">
        <f t="shared" si="15"/>
        <v>女</v>
      </c>
      <c r="F405" s="8" t="str">
        <f>"1999-07-01"</f>
        <v>1999-07-01</v>
      </c>
      <c r="G405" s="9"/>
    </row>
    <row r="406" spans="1:7" ht="13.5">
      <c r="A406" s="7">
        <v>404</v>
      </c>
      <c r="B406" s="8" t="str">
        <f>"2341202009031848251357"</f>
        <v>2341202009031848251357</v>
      </c>
      <c r="C406" s="8" t="s">
        <v>8</v>
      </c>
      <c r="D406" s="8" t="str">
        <f>"王冬雪"</f>
        <v>王冬雪</v>
      </c>
      <c r="E406" s="8" t="str">
        <f t="shared" si="15"/>
        <v>女</v>
      </c>
      <c r="F406" s="8" t="str">
        <f>"1996-09-21"</f>
        <v>1996-09-21</v>
      </c>
      <c r="G406" s="9"/>
    </row>
    <row r="407" spans="1:7" ht="13.5">
      <c r="A407" s="7">
        <v>405</v>
      </c>
      <c r="B407" s="8" t="str">
        <f>"2341202009031848451358"</f>
        <v>2341202009031848451358</v>
      </c>
      <c r="C407" s="8" t="s">
        <v>8</v>
      </c>
      <c r="D407" s="8" t="str">
        <f>"石岩龙"</f>
        <v>石岩龙</v>
      </c>
      <c r="E407" s="8" t="str">
        <f>"男"</f>
        <v>男</v>
      </c>
      <c r="F407" s="8" t="str">
        <f>"1988-09-05"</f>
        <v>1988-09-05</v>
      </c>
      <c r="G407" s="9"/>
    </row>
    <row r="408" spans="1:7" ht="13.5">
      <c r="A408" s="7">
        <v>406</v>
      </c>
      <c r="B408" s="8" t="str">
        <f>"2341202009031929401364"</f>
        <v>2341202009031929401364</v>
      </c>
      <c r="C408" s="8" t="s">
        <v>8</v>
      </c>
      <c r="D408" s="8" t="str">
        <f>"张美玲"</f>
        <v>张美玲</v>
      </c>
      <c r="E408" s="8" t="str">
        <f aca="true" t="shared" si="16" ref="E408:E450">"女"</f>
        <v>女</v>
      </c>
      <c r="F408" s="8" t="str">
        <f>"1988-03-19"</f>
        <v>1988-03-19</v>
      </c>
      <c r="G408" s="9"/>
    </row>
    <row r="409" spans="1:7" ht="13.5">
      <c r="A409" s="7">
        <v>407</v>
      </c>
      <c r="B409" s="8" t="str">
        <f>"2341202009031938361365"</f>
        <v>2341202009031938361365</v>
      </c>
      <c r="C409" s="8" t="s">
        <v>8</v>
      </c>
      <c r="D409" s="8" t="str">
        <f>"陈金霞"</f>
        <v>陈金霞</v>
      </c>
      <c r="E409" s="8" t="str">
        <f t="shared" si="16"/>
        <v>女</v>
      </c>
      <c r="F409" s="8" t="str">
        <f>"1997-02-13"</f>
        <v>1997-02-13</v>
      </c>
      <c r="G409" s="9"/>
    </row>
    <row r="410" spans="1:7" ht="13.5">
      <c r="A410" s="7">
        <v>408</v>
      </c>
      <c r="B410" s="8" t="str">
        <f>"2341202009031939391366"</f>
        <v>2341202009031939391366</v>
      </c>
      <c r="C410" s="8" t="s">
        <v>8</v>
      </c>
      <c r="D410" s="8" t="str">
        <f>"黄春颖"</f>
        <v>黄春颖</v>
      </c>
      <c r="E410" s="8" t="str">
        <f t="shared" si="16"/>
        <v>女</v>
      </c>
      <c r="F410" s="8" t="str">
        <f>"1996-03-06"</f>
        <v>1996-03-06</v>
      </c>
      <c r="G410" s="9"/>
    </row>
    <row r="411" spans="1:7" ht="13.5">
      <c r="A411" s="7">
        <v>409</v>
      </c>
      <c r="B411" s="8" t="str">
        <f>"2341202009031941041367"</f>
        <v>2341202009031941041367</v>
      </c>
      <c r="C411" s="8" t="s">
        <v>8</v>
      </c>
      <c r="D411" s="8" t="str">
        <f>"吴金梅"</f>
        <v>吴金梅</v>
      </c>
      <c r="E411" s="8" t="str">
        <f t="shared" si="16"/>
        <v>女</v>
      </c>
      <c r="F411" s="8" t="str">
        <f>"1993-09-05"</f>
        <v>1993-09-05</v>
      </c>
      <c r="G411" s="9"/>
    </row>
    <row r="412" spans="1:7" ht="13.5">
      <c r="A412" s="7">
        <v>410</v>
      </c>
      <c r="B412" s="8" t="str">
        <f>"2341202009031957381371"</f>
        <v>2341202009031957381371</v>
      </c>
      <c r="C412" s="8" t="s">
        <v>8</v>
      </c>
      <c r="D412" s="8" t="str">
        <f>"陈泰琦"</f>
        <v>陈泰琦</v>
      </c>
      <c r="E412" s="8" t="str">
        <f t="shared" si="16"/>
        <v>女</v>
      </c>
      <c r="F412" s="8" t="str">
        <f>"1996-01-11"</f>
        <v>1996-01-11</v>
      </c>
      <c r="G412" s="9"/>
    </row>
    <row r="413" spans="1:7" ht="13.5">
      <c r="A413" s="7">
        <v>411</v>
      </c>
      <c r="B413" s="8" t="str">
        <f>"2341202009031957551372"</f>
        <v>2341202009031957551372</v>
      </c>
      <c r="C413" s="8" t="s">
        <v>8</v>
      </c>
      <c r="D413" s="8" t="str">
        <f>"陈洁"</f>
        <v>陈洁</v>
      </c>
      <c r="E413" s="8" t="str">
        <f t="shared" si="16"/>
        <v>女</v>
      </c>
      <c r="F413" s="8" t="str">
        <f>"1995-10-31"</f>
        <v>1995-10-31</v>
      </c>
      <c r="G413" s="9"/>
    </row>
    <row r="414" spans="1:7" ht="13.5">
      <c r="A414" s="7">
        <v>412</v>
      </c>
      <c r="B414" s="8" t="str">
        <f>"2341202009032019441376"</f>
        <v>2341202009032019441376</v>
      </c>
      <c r="C414" s="8" t="s">
        <v>8</v>
      </c>
      <c r="D414" s="8" t="str">
        <f>"叶琼莹"</f>
        <v>叶琼莹</v>
      </c>
      <c r="E414" s="8" t="str">
        <f t="shared" si="16"/>
        <v>女</v>
      </c>
      <c r="F414" s="8" t="str">
        <f>"1998-04-21"</f>
        <v>1998-04-21</v>
      </c>
      <c r="G414" s="9"/>
    </row>
    <row r="415" spans="1:7" ht="13.5">
      <c r="A415" s="7">
        <v>413</v>
      </c>
      <c r="B415" s="8" t="str">
        <f>"2341202009032052291385"</f>
        <v>2341202009032052291385</v>
      </c>
      <c r="C415" s="8" t="s">
        <v>8</v>
      </c>
      <c r="D415" s="8" t="str">
        <f>"胡琛琛"</f>
        <v>胡琛琛</v>
      </c>
      <c r="E415" s="8" t="str">
        <f t="shared" si="16"/>
        <v>女</v>
      </c>
      <c r="F415" s="8" t="str">
        <f>"1996-07-12"</f>
        <v>1996-07-12</v>
      </c>
      <c r="G415" s="9"/>
    </row>
    <row r="416" spans="1:7" ht="13.5">
      <c r="A416" s="7">
        <v>414</v>
      </c>
      <c r="B416" s="8" t="str">
        <f>"2341202009032056541388"</f>
        <v>2341202009032056541388</v>
      </c>
      <c r="C416" s="8" t="s">
        <v>8</v>
      </c>
      <c r="D416" s="8" t="str">
        <f>"罗童心"</f>
        <v>罗童心</v>
      </c>
      <c r="E416" s="8" t="str">
        <f t="shared" si="16"/>
        <v>女</v>
      </c>
      <c r="F416" s="8" t="str">
        <f>"1997-11-18"</f>
        <v>1997-11-18</v>
      </c>
      <c r="G416" s="9"/>
    </row>
    <row r="417" spans="1:7" ht="13.5">
      <c r="A417" s="7">
        <v>415</v>
      </c>
      <c r="B417" s="8" t="str">
        <f>"2341202009032100591390"</f>
        <v>2341202009032100591390</v>
      </c>
      <c r="C417" s="8" t="s">
        <v>8</v>
      </c>
      <c r="D417" s="8" t="str">
        <f>"刘诗雅"</f>
        <v>刘诗雅</v>
      </c>
      <c r="E417" s="8" t="str">
        <f t="shared" si="16"/>
        <v>女</v>
      </c>
      <c r="F417" s="8" t="str">
        <f>"1997-02-06"</f>
        <v>1997-02-06</v>
      </c>
      <c r="G417" s="9"/>
    </row>
    <row r="418" spans="1:7" ht="13.5">
      <c r="A418" s="7">
        <v>416</v>
      </c>
      <c r="B418" s="8" t="str">
        <f>"2341202009032102001391"</f>
        <v>2341202009032102001391</v>
      </c>
      <c r="C418" s="8" t="s">
        <v>8</v>
      </c>
      <c r="D418" s="8" t="str">
        <f>"叶碧菁"</f>
        <v>叶碧菁</v>
      </c>
      <c r="E418" s="8" t="str">
        <f t="shared" si="16"/>
        <v>女</v>
      </c>
      <c r="F418" s="8" t="str">
        <f>"1998-05-06"</f>
        <v>1998-05-06</v>
      </c>
      <c r="G418" s="9"/>
    </row>
    <row r="419" spans="1:7" ht="13.5">
      <c r="A419" s="7">
        <v>417</v>
      </c>
      <c r="B419" s="8" t="str">
        <f>"2341202009032108581393"</f>
        <v>2341202009032108581393</v>
      </c>
      <c r="C419" s="8" t="s">
        <v>8</v>
      </c>
      <c r="D419" s="8" t="str">
        <f>"黎兴芳"</f>
        <v>黎兴芳</v>
      </c>
      <c r="E419" s="8" t="str">
        <f t="shared" si="16"/>
        <v>女</v>
      </c>
      <c r="F419" s="8" t="str">
        <f>"1994-12-04"</f>
        <v>1994-12-04</v>
      </c>
      <c r="G419" s="9"/>
    </row>
    <row r="420" spans="1:7" ht="13.5">
      <c r="A420" s="7">
        <v>418</v>
      </c>
      <c r="B420" s="8" t="str">
        <f>"2341202009032133451398"</f>
        <v>2341202009032133451398</v>
      </c>
      <c r="C420" s="8" t="s">
        <v>8</v>
      </c>
      <c r="D420" s="8" t="str">
        <f>"王铮钰"</f>
        <v>王铮钰</v>
      </c>
      <c r="E420" s="8" t="str">
        <f t="shared" si="16"/>
        <v>女</v>
      </c>
      <c r="F420" s="8" t="str">
        <f>"1996-06-17"</f>
        <v>1996-06-17</v>
      </c>
      <c r="G420" s="9"/>
    </row>
    <row r="421" spans="1:7" ht="13.5">
      <c r="A421" s="7">
        <v>419</v>
      </c>
      <c r="B421" s="8" t="str">
        <f>"2341202009032138151400"</f>
        <v>2341202009032138151400</v>
      </c>
      <c r="C421" s="8" t="s">
        <v>8</v>
      </c>
      <c r="D421" s="8" t="str">
        <f>"王小霞"</f>
        <v>王小霞</v>
      </c>
      <c r="E421" s="8" t="str">
        <f t="shared" si="16"/>
        <v>女</v>
      </c>
      <c r="F421" s="8" t="str">
        <f>"1995-07-15"</f>
        <v>1995-07-15</v>
      </c>
      <c r="G421" s="9"/>
    </row>
    <row r="422" spans="1:7" ht="13.5">
      <c r="A422" s="7">
        <v>420</v>
      </c>
      <c r="B422" s="8" t="str">
        <f>"2341202009032138151401"</f>
        <v>2341202009032138151401</v>
      </c>
      <c r="C422" s="8" t="s">
        <v>8</v>
      </c>
      <c r="D422" s="8" t="str">
        <f>"冯琳"</f>
        <v>冯琳</v>
      </c>
      <c r="E422" s="8" t="str">
        <f t="shared" si="16"/>
        <v>女</v>
      </c>
      <c r="F422" s="8" t="str">
        <f>"1993-10-10"</f>
        <v>1993-10-10</v>
      </c>
      <c r="G422" s="9"/>
    </row>
    <row r="423" spans="1:7" ht="13.5">
      <c r="A423" s="7">
        <v>421</v>
      </c>
      <c r="B423" s="8" t="str">
        <f>"2341202009032139571402"</f>
        <v>2341202009032139571402</v>
      </c>
      <c r="C423" s="8" t="s">
        <v>8</v>
      </c>
      <c r="D423" s="8" t="str">
        <f>"赵细米"</f>
        <v>赵细米</v>
      </c>
      <c r="E423" s="8" t="str">
        <f t="shared" si="16"/>
        <v>女</v>
      </c>
      <c r="F423" s="8" t="str">
        <f>"1997-09-13"</f>
        <v>1997-09-13</v>
      </c>
      <c r="G423" s="9"/>
    </row>
    <row r="424" spans="1:7" ht="13.5">
      <c r="A424" s="7">
        <v>422</v>
      </c>
      <c r="B424" s="8" t="str">
        <f>"2341202009032143461404"</f>
        <v>2341202009032143461404</v>
      </c>
      <c r="C424" s="8" t="s">
        <v>8</v>
      </c>
      <c r="D424" s="8" t="str">
        <f>"符霞萍"</f>
        <v>符霞萍</v>
      </c>
      <c r="E424" s="8" t="str">
        <f t="shared" si="16"/>
        <v>女</v>
      </c>
      <c r="F424" s="8" t="str">
        <f>"1991-07-20"</f>
        <v>1991-07-20</v>
      </c>
      <c r="G424" s="9"/>
    </row>
    <row r="425" spans="1:7" ht="13.5">
      <c r="A425" s="7">
        <v>423</v>
      </c>
      <c r="B425" s="8" t="str">
        <f>"2341202009032145151405"</f>
        <v>2341202009032145151405</v>
      </c>
      <c r="C425" s="8" t="s">
        <v>8</v>
      </c>
      <c r="D425" s="8" t="str">
        <f>"王秋玲"</f>
        <v>王秋玲</v>
      </c>
      <c r="E425" s="8" t="str">
        <f t="shared" si="16"/>
        <v>女</v>
      </c>
      <c r="F425" s="8" t="str">
        <f>"1994-10-13"</f>
        <v>1994-10-13</v>
      </c>
      <c r="G425" s="9"/>
    </row>
    <row r="426" spans="1:7" ht="13.5">
      <c r="A426" s="7">
        <v>424</v>
      </c>
      <c r="B426" s="8" t="str">
        <f>"2341202009032150561406"</f>
        <v>2341202009032150561406</v>
      </c>
      <c r="C426" s="8" t="s">
        <v>8</v>
      </c>
      <c r="D426" s="8" t="str">
        <f>"李元花"</f>
        <v>李元花</v>
      </c>
      <c r="E426" s="8" t="str">
        <f t="shared" si="16"/>
        <v>女</v>
      </c>
      <c r="F426" s="8" t="str">
        <f>"1997-02-01"</f>
        <v>1997-02-01</v>
      </c>
      <c r="G426" s="9"/>
    </row>
    <row r="427" spans="1:7" ht="13.5">
      <c r="A427" s="7">
        <v>425</v>
      </c>
      <c r="B427" s="8" t="str">
        <f>"2341202009032212511410"</f>
        <v>2341202009032212511410</v>
      </c>
      <c r="C427" s="8" t="s">
        <v>8</v>
      </c>
      <c r="D427" s="8" t="str">
        <f>"林成娜"</f>
        <v>林成娜</v>
      </c>
      <c r="E427" s="8" t="str">
        <f t="shared" si="16"/>
        <v>女</v>
      </c>
      <c r="F427" s="8" t="str">
        <f>"1995-03-11"</f>
        <v>1995-03-11</v>
      </c>
      <c r="G427" s="9"/>
    </row>
    <row r="428" spans="1:7" ht="13.5">
      <c r="A428" s="7">
        <v>426</v>
      </c>
      <c r="B428" s="8" t="str">
        <f>"2341202009032226441413"</f>
        <v>2341202009032226441413</v>
      </c>
      <c r="C428" s="8" t="s">
        <v>8</v>
      </c>
      <c r="D428" s="8" t="str">
        <f>"苏惠"</f>
        <v>苏惠</v>
      </c>
      <c r="E428" s="8" t="str">
        <f t="shared" si="16"/>
        <v>女</v>
      </c>
      <c r="F428" s="8" t="str">
        <f>"1997-05-03"</f>
        <v>1997-05-03</v>
      </c>
      <c r="G428" s="9"/>
    </row>
    <row r="429" spans="1:7" ht="13.5">
      <c r="A429" s="7">
        <v>427</v>
      </c>
      <c r="B429" s="8" t="str">
        <f>"2341202009032227261414"</f>
        <v>2341202009032227261414</v>
      </c>
      <c r="C429" s="8" t="s">
        <v>8</v>
      </c>
      <c r="D429" s="8" t="str">
        <f>"李盼盼"</f>
        <v>李盼盼</v>
      </c>
      <c r="E429" s="8" t="str">
        <f t="shared" si="16"/>
        <v>女</v>
      </c>
      <c r="F429" s="8" t="str">
        <f>"1991-06-02"</f>
        <v>1991-06-02</v>
      </c>
      <c r="G429" s="9"/>
    </row>
    <row r="430" spans="1:7" ht="13.5">
      <c r="A430" s="7">
        <v>428</v>
      </c>
      <c r="B430" s="8" t="str">
        <f>"2341202009032244461417"</f>
        <v>2341202009032244461417</v>
      </c>
      <c r="C430" s="8" t="s">
        <v>8</v>
      </c>
      <c r="D430" s="8" t="str">
        <f>"刘秀萍"</f>
        <v>刘秀萍</v>
      </c>
      <c r="E430" s="8" t="str">
        <f t="shared" si="16"/>
        <v>女</v>
      </c>
      <c r="F430" s="8" t="str">
        <f>"1993-05-13"</f>
        <v>1993-05-13</v>
      </c>
      <c r="G430" s="9"/>
    </row>
    <row r="431" spans="1:7" ht="13.5">
      <c r="A431" s="7">
        <v>429</v>
      </c>
      <c r="B431" s="8" t="str">
        <f>"2341202009032312191425"</f>
        <v>2341202009032312191425</v>
      </c>
      <c r="C431" s="8" t="s">
        <v>8</v>
      </c>
      <c r="D431" s="8" t="str">
        <f>"陈旭"</f>
        <v>陈旭</v>
      </c>
      <c r="E431" s="8" t="str">
        <f t="shared" si="16"/>
        <v>女</v>
      </c>
      <c r="F431" s="8" t="str">
        <f>"1992-06-08"</f>
        <v>1992-06-08</v>
      </c>
      <c r="G431" s="9"/>
    </row>
    <row r="432" spans="1:7" ht="13.5">
      <c r="A432" s="7">
        <v>430</v>
      </c>
      <c r="B432" s="8" t="str">
        <f>"2341202009032350081431"</f>
        <v>2341202009032350081431</v>
      </c>
      <c r="C432" s="8" t="s">
        <v>8</v>
      </c>
      <c r="D432" s="8" t="str">
        <f>"齐曼"</f>
        <v>齐曼</v>
      </c>
      <c r="E432" s="8" t="str">
        <f t="shared" si="16"/>
        <v>女</v>
      </c>
      <c r="F432" s="8" t="str">
        <f>"1994-07-28"</f>
        <v>1994-07-28</v>
      </c>
      <c r="G432" s="9"/>
    </row>
    <row r="433" spans="1:7" ht="13.5">
      <c r="A433" s="7">
        <v>431</v>
      </c>
      <c r="B433" s="8" t="str">
        <f>"2341202009040851461440"</f>
        <v>2341202009040851461440</v>
      </c>
      <c r="C433" s="8" t="s">
        <v>8</v>
      </c>
      <c r="D433" s="8" t="str">
        <f>"王琦"</f>
        <v>王琦</v>
      </c>
      <c r="E433" s="8" t="str">
        <f t="shared" si="16"/>
        <v>女</v>
      </c>
      <c r="F433" s="8" t="str">
        <f>"1991-01-27"</f>
        <v>1991-01-27</v>
      </c>
      <c r="G433" s="9"/>
    </row>
    <row r="434" spans="1:7" ht="13.5">
      <c r="A434" s="7">
        <v>432</v>
      </c>
      <c r="B434" s="8" t="str">
        <f>"2341202009040955231447"</f>
        <v>2341202009040955231447</v>
      </c>
      <c r="C434" s="8" t="s">
        <v>8</v>
      </c>
      <c r="D434" s="8" t="str">
        <f>"符玉舅"</f>
        <v>符玉舅</v>
      </c>
      <c r="E434" s="8" t="str">
        <f t="shared" si="16"/>
        <v>女</v>
      </c>
      <c r="F434" s="8" t="str">
        <f>"1993-10-15"</f>
        <v>1993-10-15</v>
      </c>
      <c r="G434" s="9"/>
    </row>
    <row r="435" spans="1:7" ht="13.5">
      <c r="A435" s="7">
        <v>433</v>
      </c>
      <c r="B435" s="8" t="str">
        <f>"2341202009041001381450"</f>
        <v>2341202009041001381450</v>
      </c>
      <c r="C435" s="8" t="s">
        <v>8</v>
      </c>
      <c r="D435" s="8" t="str">
        <f>"汤芬芬"</f>
        <v>汤芬芬</v>
      </c>
      <c r="E435" s="8" t="str">
        <f t="shared" si="16"/>
        <v>女</v>
      </c>
      <c r="F435" s="8" t="str">
        <f>"1995-06-08"</f>
        <v>1995-06-08</v>
      </c>
      <c r="G435" s="9"/>
    </row>
    <row r="436" spans="1:7" ht="13.5">
      <c r="A436" s="7">
        <v>434</v>
      </c>
      <c r="B436" s="8" t="str">
        <f>"2341202009041001531451"</f>
        <v>2341202009041001531451</v>
      </c>
      <c r="C436" s="8" t="s">
        <v>8</v>
      </c>
      <c r="D436" s="8" t="str">
        <f>"李延坤"</f>
        <v>李延坤</v>
      </c>
      <c r="E436" s="8" t="str">
        <f t="shared" si="16"/>
        <v>女</v>
      </c>
      <c r="F436" s="8" t="str">
        <f>"1995-06-25"</f>
        <v>1995-06-25</v>
      </c>
      <c r="G436" s="9"/>
    </row>
    <row r="437" spans="1:7" ht="13.5">
      <c r="A437" s="7">
        <v>435</v>
      </c>
      <c r="B437" s="8" t="str">
        <f>"2341202009041011551453"</f>
        <v>2341202009041011551453</v>
      </c>
      <c r="C437" s="8" t="s">
        <v>8</v>
      </c>
      <c r="D437" s="8" t="str">
        <f>"张合"</f>
        <v>张合</v>
      </c>
      <c r="E437" s="8" t="str">
        <f t="shared" si="16"/>
        <v>女</v>
      </c>
      <c r="F437" s="8" t="str">
        <f>"1992-02-02"</f>
        <v>1992-02-02</v>
      </c>
      <c r="G437" s="9"/>
    </row>
    <row r="438" spans="1:7" ht="13.5">
      <c r="A438" s="7">
        <v>436</v>
      </c>
      <c r="B438" s="8" t="str">
        <f>"2341202009041012461454"</f>
        <v>2341202009041012461454</v>
      </c>
      <c r="C438" s="8" t="s">
        <v>8</v>
      </c>
      <c r="D438" s="8" t="str">
        <f>"王茜"</f>
        <v>王茜</v>
      </c>
      <c r="E438" s="8" t="str">
        <f t="shared" si="16"/>
        <v>女</v>
      </c>
      <c r="F438" s="8" t="str">
        <f>"1998-08-16"</f>
        <v>1998-08-16</v>
      </c>
      <c r="G438" s="9"/>
    </row>
    <row r="439" spans="1:7" ht="13.5">
      <c r="A439" s="7">
        <v>437</v>
      </c>
      <c r="B439" s="8" t="str">
        <f>"2341202009041017071456"</f>
        <v>2341202009041017071456</v>
      </c>
      <c r="C439" s="8" t="s">
        <v>8</v>
      </c>
      <c r="D439" s="8" t="str">
        <f>"陈莹"</f>
        <v>陈莹</v>
      </c>
      <c r="E439" s="8" t="str">
        <f t="shared" si="16"/>
        <v>女</v>
      </c>
      <c r="F439" s="8" t="str">
        <f>"1988-01-16"</f>
        <v>1988-01-16</v>
      </c>
      <c r="G439" s="9"/>
    </row>
    <row r="440" spans="1:7" ht="13.5">
      <c r="A440" s="7">
        <v>438</v>
      </c>
      <c r="B440" s="8" t="str">
        <f>"2341202009041020011457"</f>
        <v>2341202009041020011457</v>
      </c>
      <c r="C440" s="8" t="s">
        <v>8</v>
      </c>
      <c r="D440" s="8" t="str">
        <f>"李丽丽"</f>
        <v>李丽丽</v>
      </c>
      <c r="E440" s="8" t="str">
        <f t="shared" si="16"/>
        <v>女</v>
      </c>
      <c r="F440" s="8" t="str">
        <f>"1995-05-01"</f>
        <v>1995-05-01</v>
      </c>
      <c r="G440" s="9"/>
    </row>
    <row r="441" spans="1:7" ht="13.5">
      <c r="A441" s="7">
        <v>439</v>
      </c>
      <c r="B441" s="8" t="str">
        <f>"2341202009041032591462"</f>
        <v>2341202009041032591462</v>
      </c>
      <c r="C441" s="8" t="s">
        <v>8</v>
      </c>
      <c r="D441" s="8" t="str">
        <f>"文新芬"</f>
        <v>文新芬</v>
      </c>
      <c r="E441" s="8" t="str">
        <f t="shared" si="16"/>
        <v>女</v>
      </c>
      <c r="F441" s="8" t="str">
        <f>"1996-06-27"</f>
        <v>1996-06-27</v>
      </c>
      <c r="G441" s="9"/>
    </row>
    <row r="442" spans="1:7" ht="13.5">
      <c r="A442" s="7">
        <v>440</v>
      </c>
      <c r="B442" s="8" t="str">
        <f>"2341202009041033171463"</f>
        <v>2341202009041033171463</v>
      </c>
      <c r="C442" s="8" t="s">
        <v>8</v>
      </c>
      <c r="D442" s="8" t="str">
        <f>"王湘怡"</f>
        <v>王湘怡</v>
      </c>
      <c r="E442" s="8" t="str">
        <f t="shared" si="16"/>
        <v>女</v>
      </c>
      <c r="F442" s="8" t="str">
        <f>"1996-06-24"</f>
        <v>1996-06-24</v>
      </c>
      <c r="G442" s="9"/>
    </row>
    <row r="443" spans="1:7" ht="13.5">
      <c r="A443" s="7">
        <v>441</v>
      </c>
      <c r="B443" s="8" t="str">
        <f>"2341202009041039331464"</f>
        <v>2341202009041039331464</v>
      </c>
      <c r="C443" s="8" t="s">
        <v>8</v>
      </c>
      <c r="D443" s="8" t="str">
        <f>"纪诗诗"</f>
        <v>纪诗诗</v>
      </c>
      <c r="E443" s="8" t="str">
        <f t="shared" si="16"/>
        <v>女</v>
      </c>
      <c r="F443" s="8" t="str">
        <f>"1996-09-13"</f>
        <v>1996-09-13</v>
      </c>
      <c r="G443" s="9"/>
    </row>
    <row r="444" spans="1:7" ht="13.5">
      <c r="A444" s="7">
        <v>442</v>
      </c>
      <c r="B444" s="8" t="str">
        <f>"2341202009041050291466"</f>
        <v>2341202009041050291466</v>
      </c>
      <c r="C444" s="8" t="s">
        <v>8</v>
      </c>
      <c r="D444" s="8" t="str">
        <f>"苏佳佳"</f>
        <v>苏佳佳</v>
      </c>
      <c r="E444" s="8" t="str">
        <f t="shared" si="16"/>
        <v>女</v>
      </c>
      <c r="F444" s="8" t="str">
        <f>"1991-09-15"</f>
        <v>1991-09-15</v>
      </c>
      <c r="G444" s="9"/>
    </row>
    <row r="445" spans="1:7" ht="13.5">
      <c r="A445" s="7">
        <v>443</v>
      </c>
      <c r="B445" s="8" t="str">
        <f>"2341202009041130301477"</f>
        <v>2341202009041130301477</v>
      </c>
      <c r="C445" s="8" t="s">
        <v>8</v>
      </c>
      <c r="D445" s="8" t="str">
        <f>"胡贤珠"</f>
        <v>胡贤珠</v>
      </c>
      <c r="E445" s="8" t="str">
        <f t="shared" si="16"/>
        <v>女</v>
      </c>
      <c r="F445" s="8" t="str">
        <f>"1992-07-02"</f>
        <v>1992-07-02</v>
      </c>
      <c r="G445" s="9"/>
    </row>
    <row r="446" spans="1:7" ht="13.5">
      <c r="A446" s="7">
        <v>444</v>
      </c>
      <c r="B446" s="8" t="str">
        <f>"2341202009041130561478"</f>
        <v>2341202009041130561478</v>
      </c>
      <c r="C446" s="8" t="s">
        <v>8</v>
      </c>
      <c r="D446" s="8" t="str">
        <f>"董朝燕"</f>
        <v>董朝燕</v>
      </c>
      <c r="E446" s="8" t="str">
        <f t="shared" si="16"/>
        <v>女</v>
      </c>
      <c r="F446" s="8" t="str">
        <f>"1993-10-12"</f>
        <v>1993-10-12</v>
      </c>
      <c r="G446" s="9"/>
    </row>
    <row r="447" spans="1:7" ht="13.5">
      <c r="A447" s="7">
        <v>445</v>
      </c>
      <c r="B447" s="8" t="str">
        <f>"2341202009041141011483"</f>
        <v>2341202009041141011483</v>
      </c>
      <c r="C447" s="8" t="s">
        <v>8</v>
      </c>
      <c r="D447" s="8" t="str">
        <f>"林雯霞"</f>
        <v>林雯霞</v>
      </c>
      <c r="E447" s="8" t="str">
        <f t="shared" si="16"/>
        <v>女</v>
      </c>
      <c r="F447" s="8" t="str">
        <f>"1995-04-28"</f>
        <v>1995-04-28</v>
      </c>
      <c r="G447" s="9"/>
    </row>
    <row r="448" spans="1:7" ht="13.5">
      <c r="A448" s="7">
        <v>446</v>
      </c>
      <c r="B448" s="8" t="str">
        <f>"2341202009041220551485"</f>
        <v>2341202009041220551485</v>
      </c>
      <c r="C448" s="8" t="s">
        <v>8</v>
      </c>
      <c r="D448" s="8" t="str">
        <f>"唐紫婷"</f>
        <v>唐紫婷</v>
      </c>
      <c r="E448" s="8" t="str">
        <f t="shared" si="16"/>
        <v>女</v>
      </c>
      <c r="F448" s="8" t="str">
        <f>"1996-02-07"</f>
        <v>1996-02-07</v>
      </c>
      <c r="G448" s="9"/>
    </row>
    <row r="449" spans="1:7" ht="13.5">
      <c r="A449" s="7">
        <v>447</v>
      </c>
      <c r="B449" s="8" t="str">
        <f>"2341202009041245041491"</f>
        <v>2341202009041245041491</v>
      </c>
      <c r="C449" s="8" t="s">
        <v>8</v>
      </c>
      <c r="D449" s="8" t="str">
        <f>"郑薇"</f>
        <v>郑薇</v>
      </c>
      <c r="E449" s="8" t="str">
        <f t="shared" si="16"/>
        <v>女</v>
      </c>
      <c r="F449" s="8" t="str">
        <f>"1989-07-06"</f>
        <v>1989-07-06</v>
      </c>
      <c r="G449" s="9"/>
    </row>
    <row r="450" spans="1:7" ht="13.5">
      <c r="A450" s="7">
        <v>448</v>
      </c>
      <c r="B450" s="8" t="str">
        <f>"2341202009041311341494"</f>
        <v>2341202009041311341494</v>
      </c>
      <c r="C450" s="8" t="s">
        <v>8</v>
      </c>
      <c r="D450" s="8" t="str">
        <f>"郭小榕"</f>
        <v>郭小榕</v>
      </c>
      <c r="E450" s="8" t="str">
        <f t="shared" si="16"/>
        <v>女</v>
      </c>
      <c r="F450" s="8" t="str">
        <f>"1986-04-30"</f>
        <v>1986-04-30</v>
      </c>
      <c r="G450" s="9"/>
    </row>
    <row r="451" spans="1:7" ht="13.5">
      <c r="A451" s="7">
        <v>449</v>
      </c>
      <c r="B451" s="8" t="str">
        <f>"2341202009041347031497"</f>
        <v>2341202009041347031497</v>
      </c>
      <c r="C451" s="8" t="s">
        <v>8</v>
      </c>
      <c r="D451" s="8" t="str">
        <f>"倪俊伦"</f>
        <v>倪俊伦</v>
      </c>
      <c r="E451" s="8" t="str">
        <f>"男"</f>
        <v>男</v>
      </c>
      <c r="F451" s="8" t="str">
        <f>"1992-10-21"</f>
        <v>1992-10-21</v>
      </c>
      <c r="G451" s="9"/>
    </row>
    <row r="452" spans="1:7" ht="13.5">
      <c r="A452" s="7">
        <v>450</v>
      </c>
      <c r="B452" s="8" t="str">
        <f>"2341202009041452401507"</f>
        <v>2341202009041452401507</v>
      </c>
      <c r="C452" s="8" t="s">
        <v>8</v>
      </c>
      <c r="D452" s="8" t="str">
        <f>"方芸晶"</f>
        <v>方芸晶</v>
      </c>
      <c r="E452" s="8" t="str">
        <f aca="true" t="shared" si="17" ref="E452:E492">"女"</f>
        <v>女</v>
      </c>
      <c r="F452" s="8" t="str">
        <f>"1990-07-24"</f>
        <v>1990-07-24</v>
      </c>
      <c r="G452" s="9"/>
    </row>
    <row r="453" spans="1:7" ht="13.5">
      <c r="A453" s="7">
        <v>451</v>
      </c>
      <c r="B453" s="8" t="str">
        <f>"2341202009041454301509"</f>
        <v>2341202009041454301509</v>
      </c>
      <c r="C453" s="8" t="s">
        <v>8</v>
      </c>
      <c r="D453" s="8" t="str">
        <f>"陈红如"</f>
        <v>陈红如</v>
      </c>
      <c r="E453" s="8" t="str">
        <f t="shared" si="17"/>
        <v>女</v>
      </c>
      <c r="F453" s="8" t="str">
        <f>"1993-07-09"</f>
        <v>1993-07-09</v>
      </c>
      <c r="G453" s="9"/>
    </row>
    <row r="454" spans="1:7" ht="13.5">
      <c r="A454" s="7">
        <v>452</v>
      </c>
      <c r="B454" s="8" t="str">
        <f>"2341202009041515121515"</f>
        <v>2341202009041515121515</v>
      </c>
      <c r="C454" s="8" t="s">
        <v>8</v>
      </c>
      <c r="D454" s="8" t="str">
        <f>"蒲娉冰"</f>
        <v>蒲娉冰</v>
      </c>
      <c r="E454" s="8" t="str">
        <f t="shared" si="17"/>
        <v>女</v>
      </c>
      <c r="F454" s="8" t="str">
        <f>"1995-03-28"</f>
        <v>1995-03-28</v>
      </c>
      <c r="G454" s="9"/>
    </row>
    <row r="455" spans="1:7" ht="13.5">
      <c r="A455" s="7">
        <v>453</v>
      </c>
      <c r="B455" s="8" t="str">
        <f>"2341202009041516261518"</f>
        <v>2341202009041516261518</v>
      </c>
      <c r="C455" s="8" t="s">
        <v>8</v>
      </c>
      <c r="D455" s="8" t="str">
        <f>"陆芳芳"</f>
        <v>陆芳芳</v>
      </c>
      <c r="E455" s="8" t="str">
        <f t="shared" si="17"/>
        <v>女</v>
      </c>
      <c r="F455" s="8" t="str">
        <f>"1987-10-14"</f>
        <v>1987-10-14</v>
      </c>
      <c r="G455" s="9"/>
    </row>
    <row r="456" spans="1:7" ht="13.5">
      <c r="A456" s="7">
        <v>454</v>
      </c>
      <c r="B456" s="8" t="str">
        <f>"2341202009041518431519"</f>
        <v>2341202009041518431519</v>
      </c>
      <c r="C456" s="8" t="s">
        <v>8</v>
      </c>
      <c r="D456" s="8" t="str">
        <f>"唐前茜"</f>
        <v>唐前茜</v>
      </c>
      <c r="E456" s="8" t="str">
        <f t="shared" si="17"/>
        <v>女</v>
      </c>
      <c r="F456" s="8" t="str">
        <f>"1996-04-28"</f>
        <v>1996-04-28</v>
      </c>
      <c r="G456" s="9"/>
    </row>
    <row r="457" spans="1:7" ht="13.5">
      <c r="A457" s="7">
        <v>455</v>
      </c>
      <c r="B457" s="8" t="str">
        <f>"2341202009041521091520"</f>
        <v>2341202009041521091520</v>
      </c>
      <c r="C457" s="8" t="s">
        <v>8</v>
      </c>
      <c r="D457" s="8" t="str">
        <f>"易丽莎"</f>
        <v>易丽莎</v>
      </c>
      <c r="E457" s="8" t="str">
        <f t="shared" si="17"/>
        <v>女</v>
      </c>
      <c r="F457" s="8" t="str">
        <f>"1997-02-27"</f>
        <v>1997-02-27</v>
      </c>
      <c r="G457" s="9"/>
    </row>
    <row r="458" spans="1:7" ht="13.5">
      <c r="A458" s="7">
        <v>456</v>
      </c>
      <c r="B458" s="8" t="str">
        <f>"2341202009041527161521"</f>
        <v>2341202009041527161521</v>
      </c>
      <c r="C458" s="8" t="s">
        <v>8</v>
      </c>
      <c r="D458" s="8" t="str">
        <f>"李京蓉"</f>
        <v>李京蓉</v>
      </c>
      <c r="E458" s="8" t="str">
        <f t="shared" si="17"/>
        <v>女</v>
      </c>
      <c r="F458" s="8" t="str">
        <f>"1997-04-10"</f>
        <v>1997-04-10</v>
      </c>
      <c r="G458" s="9"/>
    </row>
    <row r="459" spans="1:7" ht="13.5">
      <c r="A459" s="7">
        <v>457</v>
      </c>
      <c r="B459" s="8" t="str">
        <f>"2341202009041534571523"</f>
        <v>2341202009041534571523</v>
      </c>
      <c r="C459" s="8" t="s">
        <v>8</v>
      </c>
      <c r="D459" s="8" t="str">
        <f>"王彦力"</f>
        <v>王彦力</v>
      </c>
      <c r="E459" s="8" t="str">
        <f t="shared" si="17"/>
        <v>女</v>
      </c>
      <c r="F459" s="8" t="str">
        <f>"1992-02-25"</f>
        <v>1992-02-25</v>
      </c>
      <c r="G459" s="9"/>
    </row>
    <row r="460" spans="1:7" ht="13.5">
      <c r="A460" s="7">
        <v>458</v>
      </c>
      <c r="B460" s="8" t="str">
        <f>"2341202009041543561524"</f>
        <v>2341202009041543561524</v>
      </c>
      <c r="C460" s="8" t="s">
        <v>8</v>
      </c>
      <c r="D460" s="8" t="str">
        <f>"吴育芬"</f>
        <v>吴育芬</v>
      </c>
      <c r="E460" s="8" t="str">
        <f t="shared" si="17"/>
        <v>女</v>
      </c>
      <c r="F460" s="8" t="str">
        <f>"1991-02-06"</f>
        <v>1991-02-06</v>
      </c>
      <c r="G460" s="9"/>
    </row>
    <row r="461" spans="1:7" ht="13.5">
      <c r="A461" s="7">
        <v>459</v>
      </c>
      <c r="B461" s="8" t="str">
        <f>"2341202009041553271525"</f>
        <v>2341202009041553271525</v>
      </c>
      <c r="C461" s="8" t="s">
        <v>8</v>
      </c>
      <c r="D461" s="8" t="str">
        <f>"王圆圆"</f>
        <v>王圆圆</v>
      </c>
      <c r="E461" s="8" t="str">
        <f t="shared" si="17"/>
        <v>女</v>
      </c>
      <c r="F461" s="8" t="str">
        <f>"1994-09-21"</f>
        <v>1994-09-21</v>
      </c>
      <c r="G461" s="9"/>
    </row>
    <row r="462" spans="1:7" ht="13.5">
      <c r="A462" s="7">
        <v>460</v>
      </c>
      <c r="B462" s="8" t="str">
        <f>"2341202009041622101528"</f>
        <v>2341202009041622101528</v>
      </c>
      <c r="C462" s="8" t="s">
        <v>8</v>
      </c>
      <c r="D462" s="8" t="str">
        <f>"董心园"</f>
        <v>董心园</v>
      </c>
      <c r="E462" s="8" t="str">
        <f t="shared" si="17"/>
        <v>女</v>
      </c>
      <c r="F462" s="8" t="str">
        <f>"1996-07-10"</f>
        <v>1996-07-10</v>
      </c>
      <c r="G462" s="9"/>
    </row>
    <row r="463" spans="1:7" ht="13.5">
      <c r="A463" s="7">
        <v>461</v>
      </c>
      <c r="B463" s="8" t="str">
        <f>"2341202009041654431535"</f>
        <v>2341202009041654431535</v>
      </c>
      <c r="C463" s="8" t="s">
        <v>8</v>
      </c>
      <c r="D463" s="8" t="str">
        <f>"冯婷"</f>
        <v>冯婷</v>
      </c>
      <c r="E463" s="8" t="str">
        <f t="shared" si="17"/>
        <v>女</v>
      </c>
      <c r="F463" s="8" t="str">
        <f>"1996-01-13"</f>
        <v>1996-01-13</v>
      </c>
      <c r="G463" s="9"/>
    </row>
    <row r="464" spans="1:7" ht="13.5">
      <c r="A464" s="7">
        <v>462</v>
      </c>
      <c r="B464" s="8" t="str">
        <f>"2341202009041700371537"</f>
        <v>2341202009041700371537</v>
      </c>
      <c r="C464" s="8" t="s">
        <v>8</v>
      </c>
      <c r="D464" s="8" t="str">
        <f>"陈杨飘"</f>
        <v>陈杨飘</v>
      </c>
      <c r="E464" s="8" t="str">
        <f t="shared" si="17"/>
        <v>女</v>
      </c>
      <c r="F464" s="8" t="str">
        <f>"1997-07-03"</f>
        <v>1997-07-03</v>
      </c>
      <c r="G464" s="9"/>
    </row>
    <row r="465" spans="1:7" ht="13.5">
      <c r="A465" s="7">
        <v>463</v>
      </c>
      <c r="B465" s="8" t="str">
        <f>"2341202009041703411538"</f>
        <v>2341202009041703411538</v>
      </c>
      <c r="C465" s="8" t="s">
        <v>8</v>
      </c>
      <c r="D465" s="8" t="str">
        <f>"黄瑞"</f>
        <v>黄瑞</v>
      </c>
      <c r="E465" s="8" t="str">
        <f t="shared" si="17"/>
        <v>女</v>
      </c>
      <c r="F465" s="8" t="str">
        <f>"1996-10-10"</f>
        <v>1996-10-10</v>
      </c>
      <c r="G465" s="9"/>
    </row>
    <row r="466" spans="1:7" ht="13.5">
      <c r="A466" s="7">
        <v>464</v>
      </c>
      <c r="B466" s="8" t="str">
        <f>"2341202009041710451540"</f>
        <v>2341202009041710451540</v>
      </c>
      <c r="C466" s="8" t="s">
        <v>8</v>
      </c>
      <c r="D466" s="8" t="str">
        <f>"吴金梅"</f>
        <v>吴金梅</v>
      </c>
      <c r="E466" s="8" t="str">
        <f t="shared" si="17"/>
        <v>女</v>
      </c>
      <c r="F466" s="8" t="str">
        <f>"1992-02-08"</f>
        <v>1992-02-08</v>
      </c>
      <c r="G466" s="9"/>
    </row>
    <row r="467" spans="1:7" ht="13.5">
      <c r="A467" s="7">
        <v>465</v>
      </c>
      <c r="B467" s="8" t="str">
        <f>"2341202009041755521548"</f>
        <v>2341202009041755521548</v>
      </c>
      <c r="C467" s="8" t="s">
        <v>8</v>
      </c>
      <c r="D467" s="8" t="str">
        <f>"蔡兰"</f>
        <v>蔡兰</v>
      </c>
      <c r="E467" s="8" t="str">
        <f t="shared" si="17"/>
        <v>女</v>
      </c>
      <c r="F467" s="8" t="str">
        <f>"1992-06-29"</f>
        <v>1992-06-29</v>
      </c>
      <c r="G467" s="9"/>
    </row>
    <row r="468" spans="1:7" ht="13.5">
      <c r="A468" s="7">
        <v>466</v>
      </c>
      <c r="B468" s="8" t="str">
        <f>"2341202009041805561551"</f>
        <v>2341202009041805561551</v>
      </c>
      <c r="C468" s="8" t="s">
        <v>8</v>
      </c>
      <c r="D468" s="8" t="str">
        <f>"谢琴"</f>
        <v>谢琴</v>
      </c>
      <c r="E468" s="8" t="str">
        <f t="shared" si="17"/>
        <v>女</v>
      </c>
      <c r="F468" s="8" t="str">
        <f>"1995-02-15"</f>
        <v>1995-02-15</v>
      </c>
      <c r="G468" s="9"/>
    </row>
    <row r="469" spans="1:7" ht="13.5">
      <c r="A469" s="7">
        <v>467</v>
      </c>
      <c r="B469" s="8" t="str">
        <f>"2341202009041827241553"</f>
        <v>2341202009041827241553</v>
      </c>
      <c r="C469" s="8" t="s">
        <v>8</v>
      </c>
      <c r="D469" s="8" t="str">
        <f>"林嘉颖"</f>
        <v>林嘉颖</v>
      </c>
      <c r="E469" s="8" t="str">
        <f t="shared" si="17"/>
        <v>女</v>
      </c>
      <c r="F469" s="8" t="str">
        <f>"1996-11-14"</f>
        <v>1996-11-14</v>
      </c>
      <c r="G469" s="9"/>
    </row>
    <row r="470" spans="1:7" ht="13.5">
      <c r="A470" s="7">
        <v>468</v>
      </c>
      <c r="B470" s="8" t="str">
        <f>"2341202009041827551554"</f>
        <v>2341202009041827551554</v>
      </c>
      <c r="C470" s="8" t="s">
        <v>8</v>
      </c>
      <c r="D470" s="8" t="str">
        <f>"佟海琪"</f>
        <v>佟海琪</v>
      </c>
      <c r="E470" s="8" t="str">
        <f t="shared" si="17"/>
        <v>女</v>
      </c>
      <c r="F470" s="8" t="str">
        <f>"1989-05-20"</f>
        <v>1989-05-20</v>
      </c>
      <c r="G470" s="9"/>
    </row>
    <row r="471" spans="1:7" ht="13.5">
      <c r="A471" s="7">
        <v>469</v>
      </c>
      <c r="B471" s="8" t="str">
        <f>"2341202009041834091555"</f>
        <v>2341202009041834091555</v>
      </c>
      <c r="C471" s="8" t="s">
        <v>8</v>
      </c>
      <c r="D471" s="8" t="str">
        <f>"符香妍"</f>
        <v>符香妍</v>
      </c>
      <c r="E471" s="8" t="str">
        <f t="shared" si="17"/>
        <v>女</v>
      </c>
      <c r="F471" s="8" t="str">
        <f>"1994-03-27"</f>
        <v>1994-03-27</v>
      </c>
      <c r="G471" s="9"/>
    </row>
    <row r="472" spans="1:7" ht="13.5">
      <c r="A472" s="7">
        <v>470</v>
      </c>
      <c r="B472" s="8" t="str">
        <f>"2341202009041844561556"</f>
        <v>2341202009041844561556</v>
      </c>
      <c r="C472" s="8" t="s">
        <v>8</v>
      </c>
      <c r="D472" s="8" t="str">
        <f>"李杏"</f>
        <v>李杏</v>
      </c>
      <c r="E472" s="8" t="str">
        <f t="shared" si="17"/>
        <v>女</v>
      </c>
      <c r="F472" s="8" t="str">
        <f>"1991-07-06"</f>
        <v>1991-07-06</v>
      </c>
      <c r="G472" s="9"/>
    </row>
    <row r="473" spans="1:7" ht="13.5">
      <c r="A473" s="7">
        <v>471</v>
      </c>
      <c r="B473" s="8" t="str">
        <f>"2341202009041921101558"</f>
        <v>2341202009041921101558</v>
      </c>
      <c r="C473" s="8" t="s">
        <v>8</v>
      </c>
      <c r="D473" s="8" t="str">
        <f>"林美云"</f>
        <v>林美云</v>
      </c>
      <c r="E473" s="8" t="str">
        <f t="shared" si="17"/>
        <v>女</v>
      </c>
      <c r="F473" s="8" t="str">
        <f>"1997-09-22"</f>
        <v>1997-09-22</v>
      </c>
      <c r="G473" s="9"/>
    </row>
    <row r="474" spans="1:7" ht="13.5">
      <c r="A474" s="7">
        <v>472</v>
      </c>
      <c r="B474" s="8" t="str">
        <f>"2341202009041939101561"</f>
        <v>2341202009041939101561</v>
      </c>
      <c r="C474" s="8" t="s">
        <v>8</v>
      </c>
      <c r="D474" s="8" t="str">
        <f>"林小湾"</f>
        <v>林小湾</v>
      </c>
      <c r="E474" s="8" t="str">
        <f t="shared" si="17"/>
        <v>女</v>
      </c>
      <c r="F474" s="8" t="str">
        <f>"1994-05-06"</f>
        <v>1994-05-06</v>
      </c>
      <c r="G474" s="9"/>
    </row>
    <row r="475" spans="1:7" ht="13.5">
      <c r="A475" s="7">
        <v>473</v>
      </c>
      <c r="B475" s="8" t="str">
        <f>"2341202009041952541563"</f>
        <v>2341202009041952541563</v>
      </c>
      <c r="C475" s="8" t="s">
        <v>8</v>
      </c>
      <c r="D475" s="8" t="str">
        <f>"杨冬玲"</f>
        <v>杨冬玲</v>
      </c>
      <c r="E475" s="8" t="str">
        <f t="shared" si="17"/>
        <v>女</v>
      </c>
      <c r="F475" s="8" t="str">
        <f>"1994-11-23"</f>
        <v>1994-11-23</v>
      </c>
      <c r="G475" s="9"/>
    </row>
    <row r="476" spans="1:7" ht="13.5">
      <c r="A476" s="7">
        <v>474</v>
      </c>
      <c r="B476" s="8" t="str">
        <f>"2341202009042016021565"</f>
        <v>2341202009042016021565</v>
      </c>
      <c r="C476" s="8" t="s">
        <v>8</v>
      </c>
      <c r="D476" s="8" t="str">
        <f>"潘玉凤"</f>
        <v>潘玉凤</v>
      </c>
      <c r="E476" s="8" t="str">
        <f t="shared" si="17"/>
        <v>女</v>
      </c>
      <c r="F476" s="8" t="str">
        <f>"1985-01-10"</f>
        <v>1985-01-10</v>
      </c>
      <c r="G476" s="9"/>
    </row>
    <row r="477" spans="1:7" ht="13.5">
      <c r="A477" s="7">
        <v>475</v>
      </c>
      <c r="B477" s="8" t="str">
        <f>"2341202009042039211569"</f>
        <v>2341202009042039211569</v>
      </c>
      <c r="C477" s="8" t="s">
        <v>8</v>
      </c>
      <c r="D477" s="8" t="str">
        <f>"陈丽林"</f>
        <v>陈丽林</v>
      </c>
      <c r="E477" s="8" t="str">
        <f t="shared" si="17"/>
        <v>女</v>
      </c>
      <c r="F477" s="8" t="str">
        <f>"1992-03-05"</f>
        <v>1992-03-05</v>
      </c>
      <c r="G477" s="9"/>
    </row>
    <row r="478" spans="1:7" ht="13.5">
      <c r="A478" s="7">
        <v>476</v>
      </c>
      <c r="B478" s="8" t="str">
        <f>"2341202009042051091573"</f>
        <v>2341202009042051091573</v>
      </c>
      <c r="C478" s="8" t="s">
        <v>8</v>
      </c>
      <c r="D478" s="8" t="str">
        <f>"蔡凡"</f>
        <v>蔡凡</v>
      </c>
      <c r="E478" s="8" t="str">
        <f t="shared" si="17"/>
        <v>女</v>
      </c>
      <c r="F478" s="8" t="str">
        <f>"1995-02-06"</f>
        <v>1995-02-06</v>
      </c>
      <c r="G478" s="9"/>
    </row>
    <row r="479" spans="1:7" ht="13.5">
      <c r="A479" s="7">
        <v>477</v>
      </c>
      <c r="B479" s="8" t="str">
        <f>"2341202009042053091574"</f>
        <v>2341202009042053091574</v>
      </c>
      <c r="C479" s="8" t="s">
        <v>8</v>
      </c>
      <c r="D479" s="8" t="str">
        <f>"陈妹女"</f>
        <v>陈妹女</v>
      </c>
      <c r="E479" s="8" t="str">
        <f t="shared" si="17"/>
        <v>女</v>
      </c>
      <c r="F479" s="8" t="str">
        <f>"1994-10-23"</f>
        <v>1994-10-23</v>
      </c>
      <c r="G479" s="9"/>
    </row>
    <row r="480" spans="1:7" ht="13.5">
      <c r="A480" s="7">
        <v>478</v>
      </c>
      <c r="B480" s="8" t="str">
        <f>"2341202009042101581576"</f>
        <v>2341202009042101581576</v>
      </c>
      <c r="C480" s="8" t="s">
        <v>8</v>
      </c>
      <c r="D480" s="8" t="str">
        <f>"王玉英"</f>
        <v>王玉英</v>
      </c>
      <c r="E480" s="8" t="str">
        <f t="shared" si="17"/>
        <v>女</v>
      </c>
      <c r="F480" s="8" t="str">
        <f>"1993-10-05"</f>
        <v>1993-10-05</v>
      </c>
      <c r="G480" s="9"/>
    </row>
    <row r="481" spans="1:7" ht="13.5">
      <c r="A481" s="7">
        <v>479</v>
      </c>
      <c r="B481" s="8" t="str">
        <f>"2341202009042140311586"</f>
        <v>2341202009042140311586</v>
      </c>
      <c r="C481" s="8" t="s">
        <v>8</v>
      </c>
      <c r="D481" s="8" t="str">
        <f>"唐春鹏"</f>
        <v>唐春鹏</v>
      </c>
      <c r="E481" s="8" t="str">
        <f t="shared" si="17"/>
        <v>女</v>
      </c>
      <c r="F481" s="8" t="str">
        <f>"1994-04-12"</f>
        <v>1994-04-12</v>
      </c>
      <c r="G481" s="9"/>
    </row>
    <row r="482" spans="1:7" ht="13.5">
      <c r="A482" s="7">
        <v>480</v>
      </c>
      <c r="B482" s="8" t="str">
        <f>"2341202009042146301588"</f>
        <v>2341202009042146301588</v>
      </c>
      <c r="C482" s="8" t="s">
        <v>8</v>
      </c>
      <c r="D482" s="8" t="str">
        <f>"蔡雄娇"</f>
        <v>蔡雄娇</v>
      </c>
      <c r="E482" s="8" t="str">
        <f t="shared" si="17"/>
        <v>女</v>
      </c>
      <c r="F482" s="8" t="str">
        <f>"1990-10-01"</f>
        <v>1990-10-01</v>
      </c>
      <c r="G482" s="9"/>
    </row>
    <row r="483" spans="1:7" ht="13.5">
      <c r="A483" s="7">
        <v>481</v>
      </c>
      <c r="B483" s="8" t="str">
        <f>"2341202009042212211594"</f>
        <v>2341202009042212211594</v>
      </c>
      <c r="C483" s="8" t="s">
        <v>8</v>
      </c>
      <c r="D483" s="8" t="str">
        <f>"陈慧"</f>
        <v>陈慧</v>
      </c>
      <c r="E483" s="8" t="str">
        <f t="shared" si="17"/>
        <v>女</v>
      </c>
      <c r="F483" s="8" t="str">
        <f>"1994-10-04"</f>
        <v>1994-10-04</v>
      </c>
      <c r="G483" s="9"/>
    </row>
    <row r="484" spans="1:7" ht="13.5">
      <c r="A484" s="7">
        <v>482</v>
      </c>
      <c r="B484" s="8" t="str">
        <f>"2341202009042246381601"</f>
        <v>2341202009042246381601</v>
      </c>
      <c r="C484" s="8" t="s">
        <v>8</v>
      </c>
      <c r="D484" s="8" t="str">
        <f>"郭锦婷"</f>
        <v>郭锦婷</v>
      </c>
      <c r="E484" s="8" t="str">
        <f t="shared" si="17"/>
        <v>女</v>
      </c>
      <c r="F484" s="8" t="str">
        <f>"1993-09-25"</f>
        <v>1993-09-25</v>
      </c>
      <c r="G484" s="9"/>
    </row>
    <row r="485" spans="1:7" ht="13.5">
      <c r="A485" s="7">
        <v>483</v>
      </c>
      <c r="B485" s="8" t="str">
        <f>"2341202009042303041604"</f>
        <v>2341202009042303041604</v>
      </c>
      <c r="C485" s="8" t="s">
        <v>8</v>
      </c>
      <c r="D485" s="8" t="str">
        <f>"王智芳"</f>
        <v>王智芳</v>
      </c>
      <c r="E485" s="8" t="str">
        <f t="shared" si="17"/>
        <v>女</v>
      </c>
      <c r="F485" s="8" t="str">
        <f>"1995-10-30"</f>
        <v>1995-10-30</v>
      </c>
      <c r="G485" s="9"/>
    </row>
    <row r="486" spans="1:7" ht="13.5">
      <c r="A486" s="7">
        <v>484</v>
      </c>
      <c r="B486" s="8" t="str">
        <f>"2341202009042357161609"</f>
        <v>2341202009042357161609</v>
      </c>
      <c r="C486" s="8" t="s">
        <v>8</v>
      </c>
      <c r="D486" s="8" t="str">
        <f>"王雪翠"</f>
        <v>王雪翠</v>
      </c>
      <c r="E486" s="8" t="str">
        <f t="shared" si="17"/>
        <v>女</v>
      </c>
      <c r="F486" s="8" t="str">
        <f>"1991-08-18"</f>
        <v>1991-08-18</v>
      </c>
      <c r="G486" s="9"/>
    </row>
    <row r="487" spans="1:7" ht="13.5">
      <c r="A487" s="7">
        <v>485</v>
      </c>
      <c r="B487" s="8" t="str">
        <f>"2341202009050806181611"</f>
        <v>2341202009050806181611</v>
      </c>
      <c r="C487" s="8" t="s">
        <v>8</v>
      </c>
      <c r="D487" s="8" t="str">
        <f>"杨皓月"</f>
        <v>杨皓月</v>
      </c>
      <c r="E487" s="8" t="str">
        <f t="shared" si="17"/>
        <v>女</v>
      </c>
      <c r="F487" s="8" t="str">
        <f>"1993-06-18"</f>
        <v>1993-06-18</v>
      </c>
      <c r="G487" s="9"/>
    </row>
    <row r="488" spans="1:7" ht="13.5">
      <c r="A488" s="7">
        <v>486</v>
      </c>
      <c r="B488" s="8" t="str">
        <f>"2341202009050840061612"</f>
        <v>2341202009050840061612</v>
      </c>
      <c r="C488" s="8" t="s">
        <v>8</v>
      </c>
      <c r="D488" s="8" t="str">
        <f>"蓝轩轩"</f>
        <v>蓝轩轩</v>
      </c>
      <c r="E488" s="8" t="str">
        <f t="shared" si="17"/>
        <v>女</v>
      </c>
      <c r="F488" s="8" t="str">
        <f>"1992-08-15"</f>
        <v>1992-08-15</v>
      </c>
      <c r="G488" s="9"/>
    </row>
    <row r="489" spans="1:7" ht="13.5">
      <c r="A489" s="7">
        <v>487</v>
      </c>
      <c r="B489" s="8" t="str">
        <f>"2341202009050952401617"</f>
        <v>2341202009050952401617</v>
      </c>
      <c r="C489" s="8" t="s">
        <v>8</v>
      </c>
      <c r="D489" s="8" t="str">
        <f>"蔡佩芬"</f>
        <v>蔡佩芬</v>
      </c>
      <c r="E489" s="8" t="str">
        <f t="shared" si="17"/>
        <v>女</v>
      </c>
      <c r="F489" s="8" t="str">
        <f>"1995-12-21"</f>
        <v>1995-12-21</v>
      </c>
      <c r="G489" s="9"/>
    </row>
    <row r="490" spans="1:7" ht="13.5">
      <c r="A490" s="7">
        <v>488</v>
      </c>
      <c r="B490" s="8" t="str">
        <f>"2341202009051014111623"</f>
        <v>2341202009051014111623</v>
      </c>
      <c r="C490" s="8" t="s">
        <v>8</v>
      </c>
      <c r="D490" s="8" t="str">
        <f>"李雅"</f>
        <v>李雅</v>
      </c>
      <c r="E490" s="8" t="str">
        <f t="shared" si="17"/>
        <v>女</v>
      </c>
      <c r="F490" s="8" t="str">
        <f>"1994-07-01"</f>
        <v>1994-07-01</v>
      </c>
      <c r="G490" s="9"/>
    </row>
    <row r="491" spans="1:7" ht="13.5">
      <c r="A491" s="7">
        <v>489</v>
      </c>
      <c r="B491" s="8" t="str">
        <f>"2341202009051017121624"</f>
        <v>2341202009051017121624</v>
      </c>
      <c r="C491" s="8" t="s">
        <v>8</v>
      </c>
      <c r="D491" s="8" t="str">
        <f>"陈小青"</f>
        <v>陈小青</v>
      </c>
      <c r="E491" s="8" t="str">
        <f t="shared" si="17"/>
        <v>女</v>
      </c>
      <c r="F491" s="8" t="str">
        <f>"1996-01-02"</f>
        <v>1996-01-02</v>
      </c>
      <c r="G491" s="9"/>
    </row>
    <row r="492" spans="1:7" ht="13.5">
      <c r="A492" s="7">
        <v>490</v>
      </c>
      <c r="B492" s="8" t="str">
        <f>"2341202009051037401630"</f>
        <v>2341202009051037401630</v>
      </c>
      <c r="C492" s="8" t="s">
        <v>8</v>
      </c>
      <c r="D492" s="8" t="str">
        <f>"范聪"</f>
        <v>范聪</v>
      </c>
      <c r="E492" s="8" t="str">
        <f t="shared" si="17"/>
        <v>女</v>
      </c>
      <c r="F492" s="8" t="str">
        <f>"1994-07-22"</f>
        <v>1994-07-22</v>
      </c>
      <c r="G492" s="9"/>
    </row>
    <row r="493" spans="1:7" ht="13.5">
      <c r="A493" s="7">
        <v>491</v>
      </c>
      <c r="B493" s="8" t="str">
        <f>"2341202009051257311654"</f>
        <v>2341202009051257311654</v>
      </c>
      <c r="C493" s="8" t="s">
        <v>8</v>
      </c>
      <c r="D493" s="8" t="str">
        <f>"莫家阳"</f>
        <v>莫家阳</v>
      </c>
      <c r="E493" s="8" t="str">
        <f>"男"</f>
        <v>男</v>
      </c>
      <c r="F493" s="8" t="str">
        <f>"1996-06-02"</f>
        <v>1996-06-02</v>
      </c>
      <c r="G493" s="9"/>
    </row>
    <row r="494" spans="1:7" ht="13.5">
      <c r="A494" s="7">
        <v>492</v>
      </c>
      <c r="B494" s="8" t="str">
        <f>"2341202009051313081655"</f>
        <v>2341202009051313081655</v>
      </c>
      <c r="C494" s="8" t="s">
        <v>8</v>
      </c>
      <c r="D494" s="8" t="str">
        <f>"李金凌"</f>
        <v>李金凌</v>
      </c>
      <c r="E494" s="8" t="str">
        <f aca="true" t="shared" si="18" ref="E494:E507">"女"</f>
        <v>女</v>
      </c>
      <c r="F494" s="8" t="str">
        <f>"1993-12-02"</f>
        <v>1993-12-02</v>
      </c>
      <c r="G494" s="9"/>
    </row>
    <row r="495" spans="1:7" ht="13.5">
      <c r="A495" s="7">
        <v>493</v>
      </c>
      <c r="B495" s="8" t="str">
        <f>"2341202009051321111656"</f>
        <v>2341202009051321111656</v>
      </c>
      <c r="C495" s="8" t="s">
        <v>8</v>
      </c>
      <c r="D495" s="8" t="str">
        <f>"陈夏薇"</f>
        <v>陈夏薇</v>
      </c>
      <c r="E495" s="8" t="str">
        <f t="shared" si="18"/>
        <v>女</v>
      </c>
      <c r="F495" s="8" t="str">
        <f>"1993-06-15"</f>
        <v>1993-06-15</v>
      </c>
      <c r="G495" s="9"/>
    </row>
    <row r="496" spans="1:7" ht="13.5">
      <c r="A496" s="7">
        <v>494</v>
      </c>
      <c r="B496" s="8" t="str">
        <f>"2341202009051417361661"</f>
        <v>2341202009051417361661</v>
      </c>
      <c r="C496" s="8" t="s">
        <v>8</v>
      </c>
      <c r="D496" s="8" t="str">
        <f>"唐梦琴"</f>
        <v>唐梦琴</v>
      </c>
      <c r="E496" s="8" t="str">
        <f t="shared" si="18"/>
        <v>女</v>
      </c>
      <c r="F496" s="8" t="str">
        <f>"1996-12-01"</f>
        <v>1996-12-01</v>
      </c>
      <c r="G496" s="9"/>
    </row>
    <row r="497" spans="1:7" ht="13.5">
      <c r="A497" s="7">
        <v>495</v>
      </c>
      <c r="B497" s="8" t="str">
        <f>"2341202009051420191662"</f>
        <v>2341202009051420191662</v>
      </c>
      <c r="C497" s="8" t="s">
        <v>8</v>
      </c>
      <c r="D497" s="8" t="str">
        <f>"袁纬"</f>
        <v>袁纬</v>
      </c>
      <c r="E497" s="8" t="str">
        <f t="shared" si="18"/>
        <v>女</v>
      </c>
      <c r="F497" s="8" t="str">
        <f>"1995-05-05"</f>
        <v>1995-05-05</v>
      </c>
      <c r="G497" s="9"/>
    </row>
    <row r="498" spans="1:7" ht="13.5">
      <c r="A498" s="7">
        <v>496</v>
      </c>
      <c r="B498" s="8" t="str">
        <f>"2341202009051436541664"</f>
        <v>2341202009051436541664</v>
      </c>
      <c r="C498" s="8" t="s">
        <v>8</v>
      </c>
      <c r="D498" s="8" t="str">
        <f>"高晴"</f>
        <v>高晴</v>
      </c>
      <c r="E498" s="8" t="str">
        <f t="shared" si="18"/>
        <v>女</v>
      </c>
      <c r="F498" s="8" t="str">
        <f>"1998-03-12"</f>
        <v>1998-03-12</v>
      </c>
      <c r="G498" s="9"/>
    </row>
    <row r="499" spans="1:7" ht="13.5">
      <c r="A499" s="7">
        <v>497</v>
      </c>
      <c r="B499" s="8" t="str">
        <f>"2341202009051507221667"</f>
        <v>2341202009051507221667</v>
      </c>
      <c r="C499" s="8" t="s">
        <v>8</v>
      </c>
      <c r="D499" s="8" t="str">
        <f>"陈育群"</f>
        <v>陈育群</v>
      </c>
      <c r="E499" s="8" t="str">
        <f t="shared" si="18"/>
        <v>女</v>
      </c>
      <c r="F499" s="8" t="str">
        <f>"1990-10-02"</f>
        <v>1990-10-02</v>
      </c>
      <c r="G499" s="9"/>
    </row>
    <row r="500" spans="1:7" ht="13.5">
      <c r="A500" s="7">
        <v>498</v>
      </c>
      <c r="B500" s="8" t="str">
        <f>"2341202009051527531670"</f>
        <v>2341202009051527531670</v>
      </c>
      <c r="C500" s="8" t="s">
        <v>8</v>
      </c>
      <c r="D500" s="8" t="str">
        <f>"符诗雨"</f>
        <v>符诗雨</v>
      </c>
      <c r="E500" s="8" t="str">
        <f t="shared" si="18"/>
        <v>女</v>
      </c>
      <c r="F500" s="8" t="str">
        <f>"1997-10-18"</f>
        <v>1997-10-18</v>
      </c>
      <c r="G500" s="9"/>
    </row>
    <row r="501" spans="1:7" ht="13.5">
      <c r="A501" s="7">
        <v>499</v>
      </c>
      <c r="B501" s="8" t="str">
        <f>"2341202009051606501675"</f>
        <v>2341202009051606501675</v>
      </c>
      <c r="C501" s="8" t="s">
        <v>8</v>
      </c>
      <c r="D501" s="8" t="str">
        <f>"许腾尹"</f>
        <v>许腾尹</v>
      </c>
      <c r="E501" s="8" t="str">
        <f t="shared" si="18"/>
        <v>女</v>
      </c>
      <c r="F501" s="8" t="str">
        <f>"1998-09-10"</f>
        <v>1998-09-10</v>
      </c>
      <c r="G501" s="9"/>
    </row>
    <row r="502" spans="1:7" ht="13.5">
      <c r="A502" s="7">
        <v>500</v>
      </c>
      <c r="B502" s="8" t="str">
        <f>"2341202009051622161680"</f>
        <v>2341202009051622161680</v>
      </c>
      <c r="C502" s="8" t="s">
        <v>8</v>
      </c>
      <c r="D502" s="8" t="str">
        <f>"蓝情情"</f>
        <v>蓝情情</v>
      </c>
      <c r="E502" s="8" t="str">
        <f t="shared" si="18"/>
        <v>女</v>
      </c>
      <c r="F502" s="8" t="str">
        <f>"1995-09-02"</f>
        <v>1995-09-02</v>
      </c>
      <c r="G502" s="9"/>
    </row>
    <row r="503" spans="1:7" ht="13.5">
      <c r="A503" s="7">
        <v>501</v>
      </c>
      <c r="B503" s="8" t="str">
        <f>"2341202009051634041682"</f>
        <v>2341202009051634041682</v>
      </c>
      <c r="C503" s="8" t="s">
        <v>8</v>
      </c>
      <c r="D503" s="8" t="str">
        <f>"羊文秋"</f>
        <v>羊文秋</v>
      </c>
      <c r="E503" s="8" t="str">
        <f t="shared" si="18"/>
        <v>女</v>
      </c>
      <c r="F503" s="8" t="str">
        <f>"1994-08-15"</f>
        <v>1994-08-15</v>
      </c>
      <c r="G503" s="9"/>
    </row>
    <row r="504" spans="1:7" ht="13.5">
      <c r="A504" s="7">
        <v>502</v>
      </c>
      <c r="B504" s="8" t="str">
        <f>"2341202009051651041688"</f>
        <v>2341202009051651041688</v>
      </c>
      <c r="C504" s="8" t="s">
        <v>8</v>
      </c>
      <c r="D504" s="8" t="str">
        <f>"张春丽"</f>
        <v>张春丽</v>
      </c>
      <c r="E504" s="8" t="str">
        <f t="shared" si="18"/>
        <v>女</v>
      </c>
      <c r="F504" s="8" t="str">
        <f>"1994-09-02"</f>
        <v>1994-09-02</v>
      </c>
      <c r="G504" s="9"/>
    </row>
    <row r="505" spans="1:7" ht="13.5">
      <c r="A505" s="7">
        <v>503</v>
      </c>
      <c r="B505" s="8" t="str">
        <f>"2341202009051747091699"</f>
        <v>2341202009051747091699</v>
      </c>
      <c r="C505" s="8" t="s">
        <v>8</v>
      </c>
      <c r="D505" s="8" t="str">
        <f>"温玉焕"</f>
        <v>温玉焕</v>
      </c>
      <c r="E505" s="8" t="str">
        <f t="shared" si="18"/>
        <v>女</v>
      </c>
      <c r="F505" s="8" t="str">
        <f>"1997-07-06"</f>
        <v>1997-07-06</v>
      </c>
      <c r="G505" s="9"/>
    </row>
    <row r="506" spans="1:7" ht="13.5">
      <c r="A506" s="7">
        <v>504</v>
      </c>
      <c r="B506" s="8" t="str">
        <f>"2341202009051810581704"</f>
        <v>2341202009051810581704</v>
      </c>
      <c r="C506" s="8" t="s">
        <v>8</v>
      </c>
      <c r="D506" s="8" t="str">
        <f>"黄华陵"</f>
        <v>黄华陵</v>
      </c>
      <c r="E506" s="8" t="str">
        <f t="shared" si="18"/>
        <v>女</v>
      </c>
      <c r="F506" s="8" t="str">
        <f>"1994-09-11"</f>
        <v>1994-09-11</v>
      </c>
      <c r="G506" s="9"/>
    </row>
    <row r="507" spans="1:7" ht="13.5">
      <c r="A507" s="7">
        <v>505</v>
      </c>
      <c r="B507" s="8" t="str">
        <f>"2341202009051912211709"</f>
        <v>2341202009051912211709</v>
      </c>
      <c r="C507" s="8" t="s">
        <v>8</v>
      </c>
      <c r="D507" s="8" t="str">
        <f>"吴彦蓉"</f>
        <v>吴彦蓉</v>
      </c>
      <c r="E507" s="8" t="str">
        <f t="shared" si="18"/>
        <v>女</v>
      </c>
      <c r="F507" s="8" t="str">
        <f>"1997-10-27"</f>
        <v>1997-10-27</v>
      </c>
      <c r="G507" s="9"/>
    </row>
    <row r="508" spans="1:7" ht="13.5">
      <c r="A508" s="7">
        <v>506</v>
      </c>
      <c r="B508" s="8" t="str">
        <f>"2341202009051936541712"</f>
        <v>2341202009051936541712</v>
      </c>
      <c r="C508" s="8" t="s">
        <v>8</v>
      </c>
      <c r="D508" s="8" t="str">
        <f>"盘腾斌"</f>
        <v>盘腾斌</v>
      </c>
      <c r="E508" s="8" t="str">
        <f>"男"</f>
        <v>男</v>
      </c>
      <c r="F508" s="8" t="str">
        <f>"1991-08-07"</f>
        <v>1991-08-07</v>
      </c>
      <c r="G508" s="9"/>
    </row>
    <row r="509" spans="1:7" ht="13.5">
      <c r="A509" s="7">
        <v>507</v>
      </c>
      <c r="B509" s="8" t="str">
        <f>"2341202009051944231714"</f>
        <v>2341202009051944231714</v>
      </c>
      <c r="C509" s="8" t="s">
        <v>8</v>
      </c>
      <c r="D509" s="8" t="str">
        <f>"马楠"</f>
        <v>马楠</v>
      </c>
      <c r="E509" s="8" t="str">
        <f aca="true" t="shared" si="19" ref="E509:E519">"女"</f>
        <v>女</v>
      </c>
      <c r="F509" s="8" t="str">
        <f>"1991-12-26"</f>
        <v>1991-12-26</v>
      </c>
      <c r="G509" s="9"/>
    </row>
    <row r="510" spans="1:7" ht="13.5">
      <c r="A510" s="7">
        <v>508</v>
      </c>
      <c r="B510" s="8" t="str">
        <f>"2341202009052008081718"</f>
        <v>2341202009052008081718</v>
      </c>
      <c r="C510" s="8" t="s">
        <v>8</v>
      </c>
      <c r="D510" s="8" t="str">
        <f>"吴秋婷"</f>
        <v>吴秋婷</v>
      </c>
      <c r="E510" s="8" t="str">
        <f t="shared" si="19"/>
        <v>女</v>
      </c>
      <c r="F510" s="8" t="str">
        <f>"1998-04-20"</f>
        <v>1998-04-20</v>
      </c>
      <c r="G510" s="9"/>
    </row>
    <row r="511" spans="1:7" ht="13.5">
      <c r="A511" s="7">
        <v>509</v>
      </c>
      <c r="B511" s="8" t="str">
        <f>"2341202009052036151723"</f>
        <v>2341202009052036151723</v>
      </c>
      <c r="C511" s="8" t="s">
        <v>8</v>
      </c>
      <c r="D511" s="8" t="str">
        <f>"周琳"</f>
        <v>周琳</v>
      </c>
      <c r="E511" s="8" t="str">
        <f t="shared" si="19"/>
        <v>女</v>
      </c>
      <c r="F511" s="8" t="str">
        <f>"1985-08-03"</f>
        <v>1985-08-03</v>
      </c>
      <c r="G511" s="9"/>
    </row>
    <row r="512" spans="1:7" ht="13.5">
      <c r="A512" s="7">
        <v>510</v>
      </c>
      <c r="B512" s="8" t="str">
        <f>"2341202009052116581727"</f>
        <v>2341202009052116581727</v>
      </c>
      <c r="C512" s="8" t="s">
        <v>8</v>
      </c>
      <c r="D512" s="8" t="str">
        <f>"李巍"</f>
        <v>李巍</v>
      </c>
      <c r="E512" s="8" t="str">
        <f t="shared" si="19"/>
        <v>女</v>
      </c>
      <c r="F512" s="8" t="str">
        <f>"1996-03-12"</f>
        <v>1996-03-12</v>
      </c>
      <c r="G512" s="9"/>
    </row>
    <row r="513" spans="1:7" ht="13.5">
      <c r="A513" s="7">
        <v>511</v>
      </c>
      <c r="B513" s="8" t="str">
        <f>"2341202009052124051729"</f>
        <v>2341202009052124051729</v>
      </c>
      <c r="C513" s="8" t="s">
        <v>8</v>
      </c>
      <c r="D513" s="8" t="str">
        <f>"林小玉"</f>
        <v>林小玉</v>
      </c>
      <c r="E513" s="8" t="str">
        <f t="shared" si="19"/>
        <v>女</v>
      </c>
      <c r="F513" s="8" t="str">
        <f>"1997-02-25"</f>
        <v>1997-02-25</v>
      </c>
      <c r="G513" s="9"/>
    </row>
    <row r="514" spans="1:7" ht="13.5">
      <c r="A514" s="7">
        <v>512</v>
      </c>
      <c r="B514" s="8" t="str">
        <f>"2341202009052136011732"</f>
        <v>2341202009052136011732</v>
      </c>
      <c r="C514" s="8" t="s">
        <v>8</v>
      </c>
      <c r="D514" s="8" t="str">
        <f>"陈日映"</f>
        <v>陈日映</v>
      </c>
      <c r="E514" s="8" t="str">
        <f t="shared" si="19"/>
        <v>女</v>
      </c>
      <c r="F514" s="8" t="str">
        <f>"1989-06-01"</f>
        <v>1989-06-01</v>
      </c>
      <c r="G514" s="9"/>
    </row>
    <row r="515" spans="1:7" ht="13.5">
      <c r="A515" s="7">
        <v>513</v>
      </c>
      <c r="B515" s="8" t="str">
        <f>"2341202009052212311736"</f>
        <v>2341202009052212311736</v>
      </c>
      <c r="C515" s="8" t="s">
        <v>8</v>
      </c>
      <c r="D515" s="8" t="str">
        <f>"云春燕"</f>
        <v>云春燕</v>
      </c>
      <c r="E515" s="8" t="str">
        <f t="shared" si="19"/>
        <v>女</v>
      </c>
      <c r="F515" s="8" t="str">
        <f>"1991-11-06"</f>
        <v>1991-11-06</v>
      </c>
      <c r="G515" s="9"/>
    </row>
    <row r="516" spans="1:7" ht="13.5">
      <c r="A516" s="7">
        <v>514</v>
      </c>
      <c r="B516" s="8" t="str">
        <f>"2341202009052230521740"</f>
        <v>2341202009052230521740</v>
      </c>
      <c r="C516" s="8" t="s">
        <v>8</v>
      </c>
      <c r="D516" s="8" t="str">
        <f>"陈钰宝"</f>
        <v>陈钰宝</v>
      </c>
      <c r="E516" s="8" t="str">
        <f t="shared" si="19"/>
        <v>女</v>
      </c>
      <c r="F516" s="8" t="str">
        <f>"1992-08-09"</f>
        <v>1992-08-09</v>
      </c>
      <c r="G516" s="9"/>
    </row>
    <row r="517" spans="1:7" ht="13.5">
      <c r="A517" s="7">
        <v>515</v>
      </c>
      <c r="B517" s="8" t="str">
        <f>"2341202009052232531741"</f>
        <v>2341202009052232531741</v>
      </c>
      <c r="C517" s="8" t="s">
        <v>8</v>
      </c>
      <c r="D517" s="8" t="str">
        <f>"王转珠"</f>
        <v>王转珠</v>
      </c>
      <c r="E517" s="8" t="str">
        <f t="shared" si="19"/>
        <v>女</v>
      </c>
      <c r="F517" s="8" t="str">
        <f>"1989-11-08"</f>
        <v>1989-11-08</v>
      </c>
      <c r="G517" s="9"/>
    </row>
    <row r="518" spans="1:7" ht="13.5">
      <c r="A518" s="7">
        <v>516</v>
      </c>
      <c r="B518" s="8" t="str">
        <f>"2341202009052235561742"</f>
        <v>2341202009052235561742</v>
      </c>
      <c r="C518" s="8" t="s">
        <v>8</v>
      </c>
      <c r="D518" s="8" t="str">
        <f>"李振妃"</f>
        <v>李振妃</v>
      </c>
      <c r="E518" s="8" t="str">
        <f t="shared" si="19"/>
        <v>女</v>
      </c>
      <c r="F518" s="8" t="str">
        <f>"1995-12-08"</f>
        <v>1995-12-08</v>
      </c>
      <c r="G518" s="9"/>
    </row>
    <row r="519" spans="1:7" ht="13.5">
      <c r="A519" s="7">
        <v>517</v>
      </c>
      <c r="B519" s="8" t="str">
        <f>"2341202009052245391743"</f>
        <v>2341202009052245391743</v>
      </c>
      <c r="C519" s="8" t="s">
        <v>8</v>
      </c>
      <c r="D519" s="8" t="str">
        <f>"魏海丽"</f>
        <v>魏海丽</v>
      </c>
      <c r="E519" s="8" t="str">
        <f t="shared" si="19"/>
        <v>女</v>
      </c>
      <c r="F519" s="8" t="str">
        <f>"1995-02-24"</f>
        <v>1995-02-24</v>
      </c>
      <c r="G519" s="9"/>
    </row>
    <row r="520" spans="1:7" ht="13.5">
      <c r="A520" s="7">
        <v>518</v>
      </c>
      <c r="B520" s="8" t="str">
        <f>"2341202009052258141744"</f>
        <v>2341202009052258141744</v>
      </c>
      <c r="C520" s="8" t="s">
        <v>8</v>
      </c>
      <c r="D520" s="8" t="str">
        <f>"符煜晨"</f>
        <v>符煜晨</v>
      </c>
      <c r="E520" s="8" t="str">
        <f>"男"</f>
        <v>男</v>
      </c>
      <c r="F520" s="8" t="str">
        <f>"1995-11-29"</f>
        <v>1995-11-29</v>
      </c>
      <c r="G520" s="9"/>
    </row>
    <row r="521" spans="1:7" ht="13.5">
      <c r="A521" s="7">
        <v>519</v>
      </c>
      <c r="B521" s="8" t="str">
        <f>"2341202009052302381745"</f>
        <v>2341202009052302381745</v>
      </c>
      <c r="C521" s="8" t="s">
        <v>8</v>
      </c>
      <c r="D521" s="8" t="str">
        <f>"袁登文"</f>
        <v>袁登文</v>
      </c>
      <c r="E521" s="8" t="str">
        <f aca="true" t="shared" si="20" ref="E521:E537">"女"</f>
        <v>女</v>
      </c>
      <c r="F521" s="8" t="str">
        <f>"1997-10-15"</f>
        <v>1997-10-15</v>
      </c>
      <c r="G521" s="9"/>
    </row>
    <row r="522" spans="1:7" ht="13.5">
      <c r="A522" s="7">
        <v>520</v>
      </c>
      <c r="B522" s="8" t="str">
        <f>"2341202009052323201747"</f>
        <v>2341202009052323201747</v>
      </c>
      <c r="C522" s="8" t="s">
        <v>8</v>
      </c>
      <c r="D522" s="8" t="str">
        <f>"苏航"</f>
        <v>苏航</v>
      </c>
      <c r="E522" s="8" t="str">
        <f t="shared" si="20"/>
        <v>女</v>
      </c>
      <c r="F522" s="8" t="str">
        <f>"1988-08-16"</f>
        <v>1988-08-16</v>
      </c>
      <c r="G522" s="9"/>
    </row>
    <row r="523" spans="1:7" ht="13.5">
      <c r="A523" s="7">
        <v>521</v>
      </c>
      <c r="B523" s="8" t="str">
        <f>"2341202009060054481752"</f>
        <v>2341202009060054481752</v>
      </c>
      <c r="C523" s="8" t="s">
        <v>8</v>
      </c>
      <c r="D523" s="8" t="str">
        <f>"裴学婷"</f>
        <v>裴学婷</v>
      </c>
      <c r="E523" s="8" t="str">
        <f t="shared" si="20"/>
        <v>女</v>
      </c>
      <c r="F523" s="8" t="str">
        <f>"1994-11-01"</f>
        <v>1994-11-01</v>
      </c>
      <c r="G523" s="9"/>
    </row>
    <row r="524" spans="1:7" ht="13.5">
      <c r="A524" s="7">
        <v>522</v>
      </c>
      <c r="B524" s="8" t="str">
        <f>"2341202009060801461754"</f>
        <v>2341202009060801461754</v>
      </c>
      <c r="C524" s="8" t="s">
        <v>8</v>
      </c>
      <c r="D524" s="8" t="str">
        <f>"钟金姐"</f>
        <v>钟金姐</v>
      </c>
      <c r="E524" s="8" t="str">
        <f t="shared" si="20"/>
        <v>女</v>
      </c>
      <c r="F524" s="8" t="str">
        <f>"1991-05-19"</f>
        <v>1991-05-19</v>
      </c>
      <c r="G524" s="9"/>
    </row>
    <row r="525" spans="1:7" ht="13.5">
      <c r="A525" s="7">
        <v>523</v>
      </c>
      <c r="B525" s="8" t="str">
        <f>"2341202009060830461755"</f>
        <v>2341202009060830461755</v>
      </c>
      <c r="C525" s="8" t="s">
        <v>8</v>
      </c>
      <c r="D525" s="8" t="str">
        <f>"黎惠"</f>
        <v>黎惠</v>
      </c>
      <c r="E525" s="8" t="str">
        <f t="shared" si="20"/>
        <v>女</v>
      </c>
      <c r="F525" s="8" t="str">
        <f>"1993-03-07"</f>
        <v>1993-03-07</v>
      </c>
      <c r="G525" s="9"/>
    </row>
    <row r="526" spans="1:7" ht="13.5">
      <c r="A526" s="7">
        <v>524</v>
      </c>
      <c r="B526" s="8" t="str">
        <f>"2341202009060845311757"</f>
        <v>2341202009060845311757</v>
      </c>
      <c r="C526" s="8" t="s">
        <v>8</v>
      </c>
      <c r="D526" s="8" t="str">
        <f>"吴延娥"</f>
        <v>吴延娥</v>
      </c>
      <c r="E526" s="8" t="str">
        <f t="shared" si="20"/>
        <v>女</v>
      </c>
      <c r="F526" s="8" t="str">
        <f>"1993-10-07"</f>
        <v>1993-10-07</v>
      </c>
      <c r="G526" s="9"/>
    </row>
    <row r="527" spans="1:7" ht="13.5">
      <c r="A527" s="7">
        <v>525</v>
      </c>
      <c r="B527" s="8" t="str">
        <f>"2341202009060925431761"</f>
        <v>2341202009060925431761</v>
      </c>
      <c r="C527" s="8" t="s">
        <v>8</v>
      </c>
      <c r="D527" s="8" t="str">
        <f>"蒲晨曼"</f>
        <v>蒲晨曼</v>
      </c>
      <c r="E527" s="8" t="str">
        <f t="shared" si="20"/>
        <v>女</v>
      </c>
      <c r="F527" s="8" t="str">
        <f>"1995-09-03"</f>
        <v>1995-09-03</v>
      </c>
      <c r="G527" s="9"/>
    </row>
    <row r="528" spans="1:7" ht="13.5">
      <c r="A528" s="7">
        <v>526</v>
      </c>
      <c r="B528" s="8" t="str">
        <f>"2341202009060929061762"</f>
        <v>2341202009060929061762</v>
      </c>
      <c r="C528" s="8" t="s">
        <v>8</v>
      </c>
      <c r="D528" s="8" t="str">
        <f>"陈婆转"</f>
        <v>陈婆转</v>
      </c>
      <c r="E528" s="8" t="str">
        <f t="shared" si="20"/>
        <v>女</v>
      </c>
      <c r="F528" s="8" t="str">
        <f>"1995-12-01"</f>
        <v>1995-12-01</v>
      </c>
      <c r="G528" s="9"/>
    </row>
    <row r="529" spans="1:7" ht="13.5">
      <c r="A529" s="7">
        <v>527</v>
      </c>
      <c r="B529" s="8" t="str">
        <f>"2341202009061040311770"</f>
        <v>2341202009061040311770</v>
      </c>
      <c r="C529" s="8" t="s">
        <v>8</v>
      </c>
      <c r="D529" s="8" t="str">
        <f>"邱新瑶"</f>
        <v>邱新瑶</v>
      </c>
      <c r="E529" s="8" t="str">
        <f t="shared" si="20"/>
        <v>女</v>
      </c>
      <c r="F529" s="8" t="str">
        <f>"1991-06-21"</f>
        <v>1991-06-21</v>
      </c>
      <c r="G529" s="9"/>
    </row>
    <row r="530" spans="1:7" ht="13.5">
      <c r="A530" s="7">
        <v>528</v>
      </c>
      <c r="B530" s="8" t="str">
        <f>"2341202009061132011782"</f>
        <v>2341202009061132011782</v>
      </c>
      <c r="C530" s="8" t="s">
        <v>8</v>
      </c>
      <c r="D530" s="8" t="str">
        <f>"唐吉梅"</f>
        <v>唐吉梅</v>
      </c>
      <c r="E530" s="8" t="str">
        <f t="shared" si="20"/>
        <v>女</v>
      </c>
      <c r="F530" s="8" t="str">
        <f>"1991-01-16"</f>
        <v>1991-01-16</v>
      </c>
      <c r="G530" s="9"/>
    </row>
    <row r="531" spans="1:7" ht="13.5">
      <c r="A531" s="7">
        <v>529</v>
      </c>
      <c r="B531" s="8" t="str">
        <f>"2341202009061225251788"</f>
        <v>2341202009061225251788</v>
      </c>
      <c r="C531" s="8" t="s">
        <v>8</v>
      </c>
      <c r="D531" s="8" t="str">
        <f>"胡梦欢"</f>
        <v>胡梦欢</v>
      </c>
      <c r="E531" s="8" t="str">
        <f t="shared" si="20"/>
        <v>女</v>
      </c>
      <c r="F531" s="8" t="str">
        <f>"1995-04-03"</f>
        <v>1995-04-03</v>
      </c>
      <c r="G531" s="9"/>
    </row>
    <row r="532" spans="1:7" ht="13.5">
      <c r="A532" s="7">
        <v>530</v>
      </c>
      <c r="B532" s="8" t="str">
        <f>"2341202009061244281790"</f>
        <v>2341202009061244281790</v>
      </c>
      <c r="C532" s="8" t="s">
        <v>8</v>
      </c>
      <c r="D532" s="8" t="str">
        <f>"陈妹"</f>
        <v>陈妹</v>
      </c>
      <c r="E532" s="8" t="str">
        <f t="shared" si="20"/>
        <v>女</v>
      </c>
      <c r="F532" s="8" t="str">
        <f>"1993-09-20"</f>
        <v>1993-09-20</v>
      </c>
      <c r="G532" s="9"/>
    </row>
    <row r="533" spans="1:7" ht="13.5">
      <c r="A533" s="7">
        <v>531</v>
      </c>
      <c r="B533" s="8" t="str">
        <f>"2341202009061250081791"</f>
        <v>2341202009061250081791</v>
      </c>
      <c r="C533" s="8" t="s">
        <v>8</v>
      </c>
      <c r="D533" s="8" t="str">
        <f>"潘敏敏"</f>
        <v>潘敏敏</v>
      </c>
      <c r="E533" s="8" t="str">
        <f t="shared" si="20"/>
        <v>女</v>
      </c>
      <c r="F533" s="8" t="str">
        <f>"1996-08-09"</f>
        <v>1996-08-09</v>
      </c>
      <c r="G533" s="9"/>
    </row>
    <row r="534" spans="1:7" ht="13.5">
      <c r="A534" s="7">
        <v>532</v>
      </c>
      <c r="B534" s="8" t="str">
        <f>"2341202009061326411795"</f>
        <v>2341202009061326411795</v>
      </c>
      <c r="C534" s="8" t="s">
        <v>8</v>
      </c>
      <c r="D534" s="8" t="str">
        <f>"羊彩虹"</f>
        <v>羊彩虹</v>
      </c>
      <c r="E534" s="8" t="str">
        <f t="shared" si="20"/>
        <v>女</v>
      </c>
      <c r="F534" s="8" t="str">
        <f>"1991-12-27"</f>
        <v>1991-12-27</v>
      </c>
      <c r="G534" s="9"/>
    </row>
    <row r="535" spans="1:7" ht="13.5">
      <c r="A535" s="7">
        <v>533</v>
      </c>
      <c r="B535" s="8" t="str">
        <f>"2341202009061343341797"</f>
        <v>2341202009061343341797</v>
      </c>
      <c r="C535" s="8" t="s">
        <v>8</v>
      </c>
      <c r="D535" s="8" t="str">
        <f>"郭剑帆"</f>
        <v>郭剑帆</v>
      </c>
      <c r="E535" s="8" t="str">
        <f t="shared" si="20"/>
        <v>女</v>
      </c>
      <c r="F535" s="8" t="str">
        <f>"1997-02-21"</f>
        <v>1997-02-21</v>
      </c>
      <c r="G535" s="9"/>
    </row>
    <row r="536" spans="1:7" ht="13.5">
      <c r="A536" s="7">
        <v>534</v>
      </c>
      <c r="B536" s="8" t="str">
        <f>"2341202009061401081799"</f>
        <v>2341202009061401081799</v>
      </c>
      <c r="C536" s="8" t="s">
        <v>8</v>
      </c>
      <c r="D536" s="8" t="str">
        <f>"陈颖"</f>
        <v>陈颖</v>
      </c>
      <c r="E536" s="8" t="str">
        <f t="shared" si="20"/>
        <v>女</v>
      </c>
      <c r="F536" s="8" t="str">
        <f>"1993-06-18"</f>
        <v>1993-06-18</v>
      </c>
      <c r="G536" s="9"/>
    </row>
    <row r="537" spans="1:7" ht="13.5">
      <c r="A537" s="7">
        <v>535</v>
      </c>
      <c r="B537" s="8" t="str">
        <f>"2341202009061515081806"</f>
        <v>2341202009061515081806</v>
      </c>
      <c r="C537" s="8" t="s">
        <v>8</v>
      </c>
      <c r="D537" s="8" t="str">
        <f>"杜盼"</f>
        <v>杜盼</v>
      </c>
      <c r="E537" s="8" t="str">
        <f t="shared" si="20"/>
        <v>女</v>
      </c>
      <c r="F537" s="8" t="str">
        <f>"1987-10-15"</f>
        <v>1987-10-15</v>
      </c>
      <c r="G537" s="9"/>
    </row>
    <row r="538" spans="1:7" ht="13.5">
      <c r="A538" s="7">
        <v>536</v>
      </c>
      <c r="B538" s="8" t="str">
        <f>"2341202009061539061808"</f>
        <v>2341202009061539061808</v>
      </c>
      <c r="C538" s="8" t="s">
        <v>8</v>
      </c>
      <c r="D538" s="8" t="str">
        <f>"江浪"</f>
        <v>江浪</v>
      </c>
      <c r="E538" s="8" t="str">
        <f>"男"</f>
        <v>男</v>
      </c>
      <c r="F538" s="8" t="str">
        <f>"1996-02-15"</f>
        <v>1996-02-15</v>
      </c>
      <c r="G538" s="9"/>
    </row>
    <row r="539" spans="1:7" ht="13.5">
      <c r="A539" s="7">
        <v>537</v>
      </c>
      <c r="B539" s="8" t="str">
        <f>"2341202009061539121809"</f>
        <v>2341202009061539121809</v>
      </c>
      <c r="C539" s="8" t="s">
        <v>8</v>
      </c>
      <c r="D539" s="8" t="str">
        <f>"李秋妹"</f>
        <v>李秋妹</v>
      </c>
      <c r="E539" s="8" t="str">
        <f>"女"</f>
        <v>女</v>
      </c>
      <c r="F539" s="8" t="str">
        <f>"1989-08-09"</f>
        <v>1989-08-09</v>
      </c>
      <c r="G539" s="9"/>
    </row>
    <row r="540" spans="1:7" ht="13.5">
      <c r="A540" s="7">
        <v>538</v>
      </c>
      <c r="B540" s="8" t="str">
        <f>"2341202009061551251811"</f>
        <v>2341202009061551251811</v>
      </c>
      <c r="C540" s="8" t="s">
        <v>8</v>
      </c>
      <c r="D540" s="8" t="str">
        <f>"苏小菊"</f>
        <v>苏小菊</v>
      </c>
      <c r="E540" s="8" t="str">
        <f>"女"</f>
        <v>女</v>
      </c>
      <c r="F540" s="8" t="str">
        <f>"1996-05-19"</f>
        <v>1996-05-19</v>
      </c>
      <c r="G540" s="9"/>
    </row>
    <row r="541" spans="1:7" ht="13.5">
      <c r="A541" s="7">
        <v>539</v>
      </c>
      <c r="B541" s="8" t="str">
        <f>"2341202009061615301814"</f>
        <v>2341202009061615301814</v>
      </c>
      <c r="C541" s="8" t="s">
        <v>8</v>
      </c>
      <c r="D541" s="8" t="str">
        <f>"王嫚妮"</f>
        <v>王嫚妮</v>
      </c>
      <c r="E541" s="8" t="str">
        <f>"女"</f>
        <v>女</v>
      </c>
      <c r="F541" s="8" t="str">
        <f>"1989-12-26"</f>
        <v>1989-12-26</v>
      </c>
      <c r="G541" s="9"/>
    </row>
    <row r="542" spans="1:7" ht="13.5">
      <c r="A542" s="7">
        <v>540</v>
      </c>
      <c r="B542" s="8" t="str">
        <f>"2341202009061716331823"</f>
        <v>2341202009061716331823</v>
      </c>
      <c r="C542" s="8" t="s">
        <v>8</v>
      </c>
      <c r="D542" s="8" t="str">
        <f>"汤世阳"</f>
        <v>汤世阳</v>
      </c>
      <c r="E542" s="8" t="str">
        <f>"男"</f>
        <v>男</v>
      </c>
      <c r="F542" s="8" t="str">
        <f>"1996-09-12"</f>
        <v>1996-09-12</v>
      </c>
      <c r="G542" s="9"/>
    </row>
    <row r="543" spans="1:7" ht="13.5">
      <c r="A543" s="7">
        <v>541</v>
      </c>
      <c r="B543" s="8" t="str">
        <f>"2341202009061720501824"</f>
        <v>2341202009061720501824</v>
      </c>
      <c r="C543" s="8" t="s">
        <v>8</v>
      </c>
      <c r="D543" s="8" t="str">
        <f>"符倩珍"</f>
        <v>符倩珍</v>
      </c>
      <c r="E543" s="8" t="str">
        <f aca="true" t="shared" si="21" ref="E543:E585">"女"</f>
        <v>女</v>
      </c>
      <c r="F543" s="8" t="str">
        <f>"1997-03-10"</f>
        <v>1997-03-10</v>
      </c>
      <c r="G543" s="9"/>
    </row>
    <row r="544" spans="1:7" ht="13.5">
      <c r="A544" s="7">
        <v>542</v>
      </c>
      <c r="B544" s="8" t="str">
        <f>"2341202009061751531827"</f>
        <v>2341202009061751531827</v>
      </c>
      <c r="C544" s="8" t="s">
        <v>8</v>
      </c>
      <c r="D544" s="8" t="str">
        <f>"林小芳"</f>
        <v>林小芳</v>
      </c>
      <c r="E544" s="8" t="str">
        <f t="shared" si="21"/>
        <v>女</v>
      </c>
      <c r="F544" s="8" t="str">
        <f>"1993-11-12"</f>
        <v>1993-11-12</v>
      </c>
      <c r="G544" s="9"/>
    </row>
    <row r="545" spans="1:7" ht="13.5">
      <c r="A545" s="7">
        <v>543</v>
      </c>
      <c r="B545" s="8" t="str">
        <f>"2341202009061806571828"</f>
        <v>2341202009061806571828</v>
      </c>
      <c r="C545" s="8" t="s">
        <v>8</v>
      </c>
      <c r="D545" s="8" t="str">
        <f>"孙小玉"</f>
        <v>孙小玉</v>
      </c>
      <c r="E545" s="8" t="str">
        <f t="shared" si="21"/>
        <v>女</v>
      </c>
      <c r="F545" s="8" t="str">
        <f>"1993-05-28"</f>
        <v>1993-05-28</v>
      </c>
      <c r="G545" s="9"/>
    </row>
    <row r="546" spans="1:7" ht="13.5">
      <c r="A546" s="7">
        <v>544</v>
      </c>
      <c r="B546" s="8" t="str">
        <f>"2341202009061813551830"</f>
        <v>2341202009061813551830</v>
      </c>
      <c r="C546" s="8" t="s">
        <v>8</v>
      </c>
      <c r="D546" s="8" t="str">
        <f>"符其妙"</f>
        <v>符其妙</v>
      </c>
      <c r="E546" s="8" t="str">
        <f t="shared" si="21"/>
        <v>女</v>
      </c>
      <c r="F546" s="8" t="str">
        <f>"1991-06-20"</f>
        <v>1991-06-20</v>
      </c>
      <c r="G546" s="9"/>
    </row>
    <row r="547" spans="1:7" ht="13.5">
      <c r="A547" s="7">
        <v>545</v>
      </c>
      <c r="B547" s="8" t="str">
        <f>"2341202009061852201838"</f>
        <v>2341202009061852201838</v>
      </c>
      <c r="C547" s="8" t="s">
        <v>8</v>
      </c>
      <c r="D547" s="8" t="str">
        <f>"彭玲玲"</f>
        <v>彭玲玲</v>
      </c>
      <c r="E547" s="8" t="str">
        <f t="shared" si="21"/>
        <v>女</v>
      </c>
      <c r="F547" s="8" t="str">
        <f>"1994-12-29"</f>
        <v>1994-12-29</v>
      </c>
      <c r="G547" s="9"/>
    </row>
    <row r="548" spans="1:7" ht="13.5">
      <c r="A548" s="7">
        <v>546</v>
      </c>
      <c r="B548" s="8" t="str">
        <f>"2341202009061953061843"</f>
        <v>2341202009061953061843</v>
      </c>
      <c r="C548" s="8" t="s">
        <v>8</v>
      </c>
      <c r="D548" s="8" t="str">
        <f>"杜海芬"</f>
        <v>杜海芬</v>
      </c>
      <c r="E548" s="8" t="str">
        <f t="shared" si="21"/>
        <v>女</v>
      </c>
      <c r="F548" s="8" t="str">
        <f>"1998-03-26"</f>
        <v>1998-03-26</v>
      </c>
      <c r="G548" s="9"/>
    </row>
    <row r="549" spans="1:7" ht="13.5">
      <c r="A549" s="7">
        <v>547</v>
      </c>
      <c r="B549" s="8" t="str">
        <f>"2341202009062035541848"</f>
        <v>2341202009062035541848</v>
      </c>
      <c r="C549" s="8" t="s">
        <v>8</v>
      </c>
      <c r="D549" s="8" t="str">
        <f>"王少换"</f>
        <v>王少换</v>
      </c>
      <c r="E549" s="8" t="str">
        <f t="shared" si="21"/>
        <v>女</v>
      </c>
      <c r="F549" s="8" t="str">
        <f>"1992-06-08"</f>
        <v>1992-06-08</v>
      </c>
      <c r="G549" s="9"/>
    </row>
    <row r="550" spans="1:7" ht="13.5">
      <c r="A550" s="7">
        <v>548</v>
      </c>
      <c r="B550" s="8" t="str">
        <f>"2341202009062107071851"</f>
        <v>2341202009062107071851</v>
      </c>
      <c r="C550" s="8" t="s">
        <v>8</v>
      </c>
      <c r="D550" s="8" t="str">
        <f>"温金婷"</f>
        <v>温金婷</v>
      </c>
      <c r="E550" s="8" t="str">
        <f t="shared" si="21"/>
        <v>女</v>
      </c>
      <c r="F550" s="8" t="str">
        <f>"1997-03-22"</f>
        <v>1997-03-22</v>
      </c>
      <c r="G550" s="9"/>
    </row>
    <row r="551" spans="1:7" ht="13.5">
      <c r="A551" s="7">
        <v>549</v>
      </c>
      <c r="B551" s="8" t="str">
        <f>"2341202009062108171852"</f>
        <v>2341202009062108171852</v>
      </c>
      <c r="C551" s="8" t="s">
        <v>8</v>
      </c>
      <c r="D551" s="8" t="str">
        <f>"李成碧"</f>
        <v>李成碧</v>
      </c>
      <c r="E551" s="8" t="str">
        <f t="shared" si="21"/>
        <v>女</v>
      </c>
      <c r="F551" s="8" t="str">
        <f>"1995-08-07"</f>
        <v>1995-08-07</v>
      </c>
      <c r="G551" s="9"/>
    </row>
    <row r="552" spans="1:7" ht="13.5">
      <c r="A552" s="7">
        <v>550</v>
      </c>
      <c r="B552" s="8" t="str">
        <f>"2341202009062115591853"</f>
        <v>2341202009062115591853</v>
      </c>
      <c r="C552" s="8" t="s">
        <v>8</v>
      </c>
      <c r="D552" s="8" t="str">
        <f>"欧英"</f>
        <v>欧英</v>
      </c>
      <c r="E552" s="8" t="str">
        <f t="shared" si="21"/>
        <v>女</v>
      </c>
      <c r="F552" s="8" t="str">
        <f>"1991-07-09"</f>
        <v>1991-07-09</v>
      </c>
      <c r="G552" s="9"/>
    </row>
    <row r="553" spans="1:7" ht="13.5">
      <c r="A553" s="7">
        <v>551</v>
      </c>
      <c r="B553" s="8" t="str">
        <f>"2341202009062139171854"</f>
        <v>2341202009062139171854</v>
      </c>
      <c r="C553" s="8" t="s">
        <v>8</v>
      </c>
      <c r="D553" s="8" t="str">
        <f>"吴桃艳"</f>
        <v>吴桃艳</v>
      </c>
      <c r="E553" s="8" t="str">
        <f t="shared" si="21"/>
        <v>女</v>
      </c>
      <c r="F553" s="8" t="str">
        <f>"1994-04-01"</f>
        <v>1994-04-01</v>
      </c>
      <c r="G553" s="9"/>
    </row>
    <row r="554" spans="1:7" ht="13.5">
      <c r="A554" s="7">
        <v>552</v>
      </c>
      <c r="B554" s="8" t="str">
        <f>"2341202009062141541855"</f>
        <v>2341202009062141541855</v>
      </c>
      <c r="C554" s="8" t="s">
        <v>8</v>
      </c>
      <c r="D554" s="8" t="str">
        <f>"王璐瑶"</f>
        <v>王璐瑶</v>
      </c>
      <c r="E554" s="8" t="str">
        <f t="shared" si="21"/>
        <v>女</v>
      </c>
      <c r="F554" s="8" t="str">
        <f>"1994-04-30"</f>
        <v>1994-04-30</v>
      </c>
      <c r="G554" s="9"/>
    </row>
    <row r="555" spans="1:7" ht="13.5">
      <c r="A555" s="7">
        <v>553</v>
      </c>
      <c r="B555" s="8" t="str">
        <f>"2341202009062212591859"</f>
        <v>2341202009062212591859</v>
      </c>
      <c r="C555" s="8" t="s">
        <v>8</v>
      </c>
      <c r="D555" s="8" t="str">
        <f>"骆祖美"</f>
        <v>骆祖美</v>
      </c>
      <c r="E555" s="8" t="str">
        <f t="shared" si="21"/>
        <v>女</v>
      </c>
      <c r="F555" s="8" t="str">
        <f>"1997-03-08"</f>
        <v>1997-03-08</v>
      </c>
      <c r="G555" s="9"/>
    </row>
    <row r="556" spans="1:7" ht="13.5">
      <c r="A556" s="7">
        <v>554</v>
      </c>
      <c r="B556" s="8" t="str">
        <f>"2341202009070633581875"</f>
        <v>2341202009070633581875</v>
      </c>
      <c r="C556" s="8" t="s">
        <v>8</v>
      </c>
      <c r="D556" s="8" t="str">
        <f>"文新瑶"</f>
        <v>文新瑶</v>
      </c>
      <c r="E556" s="8" t="str">
        <f t="shared" si="21"/>
        <v>女</v>
      </c>
      <c r="F556" s="8" t="str">
        <f>"1998-10-16"</f>
        <v>1998-10-16</v>
      </c>
      <c r="G556" s="9"/>
    </row>
    <row r="557" spans="1:7" ht="13.5">
      <c r="A557" s="7">
        <v>555</v>
      </c>
      <c r="B557" s="8" t="str">
        <f>"2341202009070659201876"</f>
        <v>2341202009070659201876</v>
      </c>
      <c r="C557" s="8" t="s">
        <v>8</v>
      </c>
      <c r="D557" s="8" t="str">
        <f>"关秀萍"</f>
        <v>关秀萍</v>
      </c>
      <c r="E557" s="8" t="str">
        <f t="shared" si="21"/>
        <v>女</v>
      </c>
      <c r="F557" s="8" t="str">
        <f>"1998-11-03"</f>
        <v>1998-11-03</v>
      </c>
      <c r="G557" s="9"/>
    </row>
    <row r="558" spans="1:7" ht="13.5">
      <c r="A558" s="7">
        <v>556</v>
      </c>
      <c r="B558" s="8" t="str">
        <f>"2341202009070915281884"</f>
        <v>2341202009070915281884</v>
      </c>
      <c r="C558" s="8" t="s">
        <v>8</v>
      </c>
      <c r="D558" s="8" t="str">
        <f>"丁璐璐"</f>
        <v>丁璐璐</v>
      </c>
      <c r="E558" s="8" t="str">
        <f t="shared" si="21"/>
        <v>女</v>
      </c>
      <c r="F558" s="8" t="str">
        <f>"1996-08-09"</f>
        <v>1996-08-09</v>
      </c>
      <c r="G558" s="9"/>
    </row>
    <row r="559" spans="1:7" ht="13.5">
      <c r="A559" s="7">
        <v>557</v>
      </c>
      <c r="B559" s="8" t="str">
        <f>"2341202009070923151889"</f>
        <v>2341202009070923151889</v>
      </c>
      <c r="C559" s="8" t="s">
        <v>8</v>
      </c>
      <c r="D559" s="8" t="str">
        <f>"陈秋菊"</f>
        <v>陈秋菊</v>
      </c>
      <c r="E559" s="8" t="str">
        <f t="shared" si="21"/>
        <v>女</v>
      </c>
      <c r="F559" s="8" t="str">
        <f>"1995-05-28"</f>
        <v>1995-05-28</v>
      </c>
      <c r="G559" s="9"/>
    </row>
    <row r="560" spans="1:7" ht="13.5">
      <c r="A560" s="7">
        <v>558</v>
      </c>
      <c r="B560" s="8" t="str">
        <f>"2341202009070933031892"</f>
        <v>2341202009070933031892</v>
      </c>
      <c r="C560" s="8" t="s">
        <v>8</v>
      </c>
      <c r="D560" s="8" t="str">
        <f>"卢俏慧"</f>
        <v>卢俏慧</v>
      </c>
      <c r="E560" s="8" t="str">
        <f t="shared" si="21"/>
        <v>女</v>
      </c>
      <c r="F560" s="8" t="str">
        <f>"1992-10-06"</f>
        <v>1992-10-06</v>
      </c>
      <c r="G560" s="9"/>
    </row>
    <row r="561" spans="1:7" ht="13.5">
      <c r="A561" s="7">
        <v>559</v>
      </c>
      <c r="B561" s="8" t="str">
        <f>"2341202009070933081893"</f>
        <v>2341202009070933081893</v>
      </c>
      <c r="C561" s="8" t="s">
        <v>8</v>
      </c>
      <c r="D561" s="8" t="str">
        <f>"张晓椰"</f>
        <v>张晓椰</v>
      </c>
      <c r="E561" s="8" t="str">
        <f t="shared" si="21"/>
        <v>女</v>
      </c>
      <c r="F561" s="8" t="str">
        <f>"1997-12-11"</f>
        <v>1997-12-11</v>
      </c>
      <c r="G561" s="9"/>
    </row>
    <row r="562" spans="1:7" ht="13.5">
      <c r="A562" s="7">
        <v>560</v>
      </c>
      <c r="B562" s="8" t="str">
        <f>"2341202009070954131896"</f>
        <v>2341202009070954131896</v>
      </c>
      <c r="C562" s="8" t="s">
        <v>8</v>
      </c>
      <c r="D562" s="8" t="str">
        <f>"叶焕焕"</f>
        <v>叶焕焕</v>
      </c>
      <c r="E562" s="8" t="str">
        <f t="shared" si="21"/>
        <v>女</v>
      </c>
      <c r="F562" s="8" t="str">
        <f>"1996-11-03"</f>
        <v>1996-11-03</v>
      </c>
      <c r="G562" s="9"/>
    </row>
    <row r="563" spans="1:7" ht="13.5">
      <c r="A563" s="7">
        <v>561</v>
      </c>
      <c r="B563" s="8" t="str">
        <f>"2341202009071005431900"</f>
        <v>2341202009071005431900</v>
      </c>
      <c r="C563" s="8" t="s">
        <v>8</v>
      </c>
      <c r="D563" s="8" t="str">
        <f>"黄雪珍"</f>
        <v>黄雪珍</v>
      </c>
      <c r="E563" s="8" t="str">
        <f t="shared" si="21"/>
        <v>女</v>
      </c>
      <c r="F563" s="8" t="str">
        <f>"1992-11-04"</f>
        <v>1992-11-04</v>
      </c>
      <c r="G563" s="9"/>
    </row>
    <row r="564" spans="1:7" ht="13.5">
      <c r="A564" s="7">
        <v>562</v>
      </c>
      <c r="B564" s="8" t="str">
        <f>"2341202009071025361903"</f>
        <v>2341202009071025361903</v>
      </c>
      <c r="C564" s="8" t="s">
        <v>8</v>
      </c>
      <c r="D564" s="8" t="str">
        <f>"方伟"</f>
        <v>方伟</v>
      </c>
      <c r="E564" s="8" t="str">
        <f t="shared" si="21"/>
        <v>女</v>
      </c>
      <c r="F564" s="8" t="str">
        <f>"1991-03-14"</f>
        <v>1991-03-14</v>
      </c>
      <c r="G564" s="9"/>
    </row>
    <row r="565" spans="1:7" ht="13.5">
      <c r="A565" s="7">
        <v>563</v>
      </c>
      <c r="B565" s="8" t="str">
        <f>"2341202009071026361904"</f>
        <v>2341202009071026361904</v>
      </c>
      <c r="C565" s="8" t="s">
        <v>8</v>
      </c>
      <c r="D565" s="8" t="str">
        <f>"钟周芹"</f>
        <v>钟周芹</v>
      </c>
      <c r="E565" s="8" t="str">
        <f t="shared" si="21"/>
        <v>女</v>
      </c>
      <c r="F565" s="8" t="str">
        <f>"2000-02-16"</f>
        <v>2000-02-16</v>
      </c>
      <c r="G565" s="9"/>
    </row>
    <row r="566" spans="1:7" ht="13.5">
      <c r="A566" s="7">
        <v>564</v>
      </c>
      <c r="B566" s="8" t="str">
        <f>"2341202009071032401905"</f>
        <v>2341202009071032401905</v>
      </c>
      <c r="C566" s="8" t="s">
        <v>8</v>
      </c>
      <c r="D566" s="8" t="str">
        <f>"宋丽霞"</f>
        <v>宋丽霞</v>
      </c>
      <c r="E566" s="8" t="str">
        <f t="shared" si="21"/>
        <v>女</v>
      </c>
      <c r="F566" s="8" t="str">
        <f>"1993-10-03"</f>
        <v>1993-10-03</v>
      </c>
      <c r="G566" s="9"/>
    </row>
    <row r="567" spans="1:7" ht="13.5">
      <c r="A567" s="7">
        <v>565</v>
      </c>
      <c r="B567" s="8" t="str">
        <f>"2341202009071042401909"</f>
        <v>2341202009071042401909</v>
      </c>
      <c r="C567" s="8" t="s">
        <v>8</v>
      </c>
      <c r="D567" s="8" t="str">
        <f>"祁曼玉"</f>
        <v>祁曼玉</v>
      </c>
      <c r="E567" s="8" t="str">
        <f t="shared" si="21"/>
        <v>女</v>
      </c>
      <c r="F567" s="8" t="str">
        <f>"1990-10-14"</f>
        <v>1990-10-14</v>
      </c>
      <c r="G567" s="9"/>
    </row>
    <row r="568" spans="1:7" ht="13.5">
      <c r="A568" s="7">
        <v>566</v>
      </c>
      <c r="B568" s="8" t="str">
        <f>"2341202009071046031911"</f>
        <v>2341202009071046031911</v>
      </c>
      <c r="C568" s="8" t="s">
        <v>8</v>
      </c>
      <c r="D568" s="8" t="str">
        <f>"张梁莉"</f>
        <v>张梁莉</v>
      </c>
      <c r="E568" s="8" t="str">
        <f t="shared" si="21"/>
        <v>女</v>
      </c>
      <c r="F568" s="8" t="str">
        <f>"1996-01-30"</f>
        <v>1996-01-30</v>
      </c>
      <c r="G568" s="9"/>
    </row>
    <row r="569" spans="1:7" ht="13.5">
      <c r="A569" s="7">
        <v>567</v>
      </c>
      <c r="B569" s="8" t="str">
        <f>"2341202009071114301916"</f>
        <v>2341202009071114301916</v>
      </c>
      <c r="C569" s="8" t="s">
        <v>8</v>
      </c>
      <c r="D569" s="8" t="str">
        <f>"谢碧桑"</f>
        <v>谢碧桑</v>
      </c>
      <c r="E569" s="8" t="str">
        <f t="shared" si="21"/>
        <v>女</v>
      </c>
      <c r="F569" s="8" t="str">
        <f>"1992-05-20"</f>
        <v>1992-05-20</v>
      </c>
      <c r="G569" s="9"/>
    </row>
    <row r="570" spans="1:7" ht="13.5">
      <c r="A570" s="7">
        <v>568</v>
      </c>
      <c r="B570" s="8" t="str">
        <f>"2341202009071133431920"</f>
        <v>2341202009071133431920</v>
      </c>
      <c r="C570" s="8" t="s">
        <v>8</v>
      </c>
      <c r="D570" s="8" t="str">
        <f>"石越"</f>
        <v>石越</v>
      </c>
      <c r="E570" s="8" t="str">
        <f t="shared" si="21"/>
        <v>女</v>
      </c>
      <c r="F570" s="8" t="str">
        <f>"1995-07-04"</f>
        <v>1995-07-04</v>
      </c>
      <c r="G570" s="9"/>
    </row>
    <row r="571" spans="1:7" ht="13.5">
      <c r="A571" s="7">
        <v>569</v>
      </c>
      <c r="B571" s="8" t="str">
        <f>"2341202009071149191923"</f>
        <v>2341202009071149191923</v>
      </c>
      <c r="C571" s="8" t="s">
        <v>8</v>
      </c>
      <c r="D571" s="8" t="str">
        <f>"云艳苗"</f>
        <v>云艳苗</v>
      </c>
      <c r="E571" s="8" t="str">
        <f t="shared" si="21"/>
        <v>女</v>
      </c>
      <c r="F571" s="8" t="str">
        <f>"1997-11-07"</f>
        <v>1997-11-07</v>
      </c>
      <c r="G571" s="9"/>
    </row>
    <row r="572" spans="1:7" ht="13.5">
      <c r="A572" s="7">
        <v>570</v>
      </c>
      <c r="B572" s="8" t="str">
        <f>"2341202009071241511932"</f>
        <v>2341202009071241511932</v>
      </c>
      <c r="C572" s="8" t="s">
        <v>8</v>
      </c>
      <c r="D572" s="8" t="str">
        <f>"王瑶"</f>
        <v>王瑶</v>
      </c>
      <c r="E572" s="8" t="str">
        <f t="shared" si="21"/>
        <v>女</v>
      </c>
      <c r="F572" s="8" t="str">
        <f>"1995-10-20"</f>
        <v>1995-10-20</v>
      </c>
      <c r="G572" s="9"/>
    </row>
    <row r="573" spans="1:7" ht="13.5">
      <c r="A573" s="7">
        <v>571</v>
      </c>
      <c r="B573" s="8" t="str">
        <f>"2341202009071247581934"</f>
        <v>2341202009071247581934</v>
      </c>
      <c r="C573" s="8" t="s">
        <v>8</v>
      </c>
      <c r="D573" s="8" t="str">
        <f>"何日丽"</f>
        <v>何日丽</v>
      </c>
      <c r="E573" s="8" t="str">
        <f t="shared" si="21"/>
        <v>女</v>
      </c>
      <c r="F573" s="8" t="str">
        <f>"1993-10-23"</f>
        <v>1993-10-23</v>
      </c>
      <c r="G573" s="9"/>
    </row>
    <row r="574" spans="1:7" ht="13.5">
      <c r="A574" s="7">
        <v>572</v>
      </c>
      <c r="B574" s="8" t="str">
        <f>"2341202009071316161940"</f>
        <v>2341202009071316161940</v>
      </c>
      <c r="C574" s="8" t="s">
        <v>8</v>
      </c>
      <c r="D574" s="8" t="str">
        <f>"吴小璐"</f>
        <v>吴小璐</v>
      </c>
      <c r="E574" s="8" t="str">
        <f t="shared" si="21"/>
        <v>女</v>
      </c>
      <c r="F574" s="8" t="str">
        <f>"1995-05-09"</f>
        <v>1995-05-09</v>
      </c>
      <c r="G574" s="9"/>
    </row>
    <row r="575" spans="1:7" ht="13.5">
      <c r="A575" s="7">
        <v>573</v>
      </c>
      <c r="B575" s="8" t="str">
        <f>"2341202009071433531948"</f>
        <v>2341202009071433531948</v>
      </c>
      <c r="C575" s="8" t="s">
        <v>8</v>
      </c>
      <c r="D575" s="8" t="str">
        <f>"卢小婧"</f>
        <v>卢小婧</v>
      </c>
      <c r="E575" s="8" t="str">
        <f t="shared" si="21"/>
        <v>女</v>
      </c>
      <c r="F575" s="8" t="str">
        <f>"1991-06-06"</f>
        <v>1991-06-06</v>
      </c>
      <c r="G575" s="9"/>
    </row>
    <row r="576" spans="1:7" ht="13.5">
      <c r="A576" s="7">
        <v>574</v>
      </c>
      <c r="B576" s="8" t="str">
        <f>"2341202009071517051957"</f>
        <v>2341202009071517051957</v>
      </c>
      <c r="C576" s="8" t="s">
        <v>8</v>
      </c>
      <c r="D576" s="8" t="str">
        <f>"胡佳英"</f>
        <v>胡佳英</v>
      </c>
      <c r="E576" s="8" t="str">
        <f t="shared" si="21"/>
        <v>女</v>
      </c>
      <c r="F576" s="8" t="str">
        <f>"1993-07-23"</f>
        <v>1993-07-23</v>
      </c>
      <c r="G576" s="9"/>
    </row>
    <row r="577" spans="1:7" ht="13.5">
      <c r="A577" s="7">
        <v>575</v>
      </c>
      <c r="B577" s="8" t="str">
        <f>"2341202009071532551960"</f>
        <v>2341202009071532551960</v>
      </c>
      <c r="C577" s="8" t="s">
        <v>8</v>
      </c>
      <c r="D577" s="8" t="str">
        <f>"蒋树娜"</f>
        <v>蒋树娜</v>
      </c>
      <c r="E577" s="8" t="str">
        <f t="shared" si="21"/>
        <v>女</v>
      </c>
      <c r="F577" s="8" t="str">
        <f>"1991-11-24"</f>
        <v>1991-11-24</v>
      </c>
      <c r="G577" s="9"/>
    </row>
    <row r="578" spans="1:7" ht="13.5">
      <c r="A578" s="7">
        <v>576</v>
      </c>
      <c r="B578" s="8" t="str">
        <f>"2341202009071546581963"</f>
        <v>2341202009071546581963</v>
      </c>
      <c r="C578" s="8" t="s">
        <v>8</v>
      </c>
      <c r="D578" s="8" t="str">
        <f>"王春暖"</f>
        <v>王春暖</v>
      </c>
      <c r="E578" s="8" t="str">
        <f t="shared" si="21"/>
        <v>女</v>
      </c>
      <c r="F578" s="8" t="str">
        <f>"1985-09-03"</f>
        <v>1985-09-03</v>
      </c>
      <c r="G578" s="9"/>
    </row>
    <row r="579" spans="1:7" ht="13.5">
      <c r="A579" s="7">
        <v>577</v>
      </c>
      <c r="B579" s="8" t="str">
        <f>"2341202009071557551966"</f>
        <v>2341202009071557551966</v>
      </c>
      <c r="C579" s="8" t="s">
        <v>8</v>
      </c>
      <c r="D579" s="8" t="str">
        <f>"程丽月"</f>
        <v>程丽月</v>
      </c>
      <c r="E579" s="8" t="str">
        <f t="shared" si="21"/>
        <v>女</v>
      </c>
      <c r="F579" s="8" t="str">
        <f>"1994-06-08"</f>
        <v>1994-06-08</v>
      </c>
      <c r="G579" s="9"/>
    </row>
    <row r="580" spans="1:7" ht="13.5">
      <c r="A580" s="7">
        <v>578</v>
      </c>
      <c r="B580" s="8" t="str">
        <f>"2341202009071631081972"</f>
        <v>2341202009071631081972</v>
      </c>
      <c r="C580" s="8" t="s">
        <v>8</v>
      </c>
      <c r="D580" s="8" t="str">
        <f>"李继丹"</f>
        <v>李继丹</v>
      </c>
      <c r="E580" s="8" t="str">
        <f t="shared" si="21"/>
        <v>女</v>
      </c>
      <c r="F580" s="8" t="str">
        <f>"1996-07-25"</f>
        <v>1996-07-25</v>
      </c>
      <c r="G580" s="9"/>
    </row>
    <row r="581" spans="1:7" ht="13.5">
      <c r="A581" s="7">
        <v>579</v>
      </c>
      <c r="B581" s="8" t="str">
        <f>"2341202009071639411974"</f>
        <v>2341202009071639411974</v>
      </c>
      <c r="C581" s="8" t="s">
        <v>8</v>
      </c>
      <c r="D581" s="8" t="str">
        <f>"李环媚"</f>
        <v>李环媚</v>
      </c>
      <c r="E581" s="8" t="str">
        <f t="shared" si="21"/>
        <v>女</v>
      </c>
      <c r="F581" s="8" t="str">
        <f>"1991-04-07"</f>
        <v>1991-04-07</v>
      </c>
      <c r="G581" s="9"/>
    </row>
    <row r="582" spans="1:7" ht="13.5">
      <c r="A582" s="7">
        <v>580</v>
      </c>
      <c r="B582" s="8" t="str">
        <f>"2341202009071659031975"</f>
        <v>2341202009071659031975</v>
      </c>
      <c r="C582" s="8" t="s">
        <v>8</v>
      </c>
      <c r="D582" s="8" t="str">
        <f>"罗星"</f>
        <v>罗星</v>
      </c>
      <c r="E582" s="8" t="str">
        <f t="shared" si="21"/>
        <v>女</v>
      </c>
      <c r="F582" s="8" t="str">
        <f>"1997-06-20"</f>
        <v>1997-06-20</v>
      </c>
      <c r="G582" s="9"/>
    </row>
    <row r="583" spans="1:7" ht="13.5">
      <c r="A583" s="7">
        <v>581</v>
      </c>
      <c r="B583" s="8" t="str">
        <f>"2341202009071709191976"</f>
        <v>2341202009071709191976</v>
      </c>
      <c r="C583" s="8" t="s">
        <v>8</v>
      </c>
      <c r="D583" s="8" t="str">
        <f>"赖彦羽"</f>
        <v>赖彦羽</v>
      </c>
      <c r="E583" s="8" t="str">
        <f t="shared" si="21"/>
        <v>女</v>
      </c>
      <c r="F583" s="8" t="str">
        <f>"1991-06-13"</f>
        <v>1991-06-13</v>
      </c>
      <c r="G583" s="9"/>
    </row>
    <row r="584" spans="1:7" ht="13.5">
      <c r="A584" s="7">
        <v>582</v>
      </c>
      <c r="B584" s="8" t="str">
        <f>"2341202009071715551978"</f>
        <v>2341202009071715551978</v>
      </c>
      <c r="C584" s="8" t="s">
        <v>8</v>
      </c>
      <c r="D584" s="8" t="str">
        <f>"李雅"</f>
        <v>李雅</v>
      </c>
      <c r="E584" s="8" t="str">
        <f t="shared" si="21"/>
        <v>女</v>
      </c>
      <c r="F584" s="8" t="str">
        <f>"1991-11-28"</f>
        <v>1991-11-28</v>
      </c>
      <c r="G584" s="9"/>
    </row>
    <row r="585" spans="1:7" ht="13.5">
      <c r="A585" s="7">
        <v>583</v>
      </c>
      <c r="B585" s="8" t="str">
        <f>"2341202009071744351985"</f>
        <v>2341202009071744351985</v>
      </c>
      <c r="C585" s="8" t="s">
        <v>8</v>
      </c>
      <c r="D585" s="8" t="str">
        <f>"许芳园"</f>
        <v>许芳园</v>
      </c>
      <c r="E585" s="8" t="str">
        <f t="shared" si="21"/>
        <v>女</v>
      </c>
      <c r="F585" s="8" t="str">
        <f>"1996-03-17"</f>
        <v>1996-03-17</v>
      </c>
      <c r="G585" s="9"/>
    </row>
    <row r="586" spans="1:7" ht="13.5">
      <c r="A586" s="7">
        <v>584</v>
      </c>
      <c r="B586" s="8" t="str">
        <f>"2341202009071758351987"</f>
        <v>2341202009071758351987</v>
      </c>
      <c r="C586" s="8" t="s">
        <v>8</v>
      </c>
      <c r="D586" s="8" t="str">
        <f>"赵文立"</f>
        <v>赵文立</v>
      </c>
      <c r="E586" s="8" t="str">
        <f>"男"</f>
        <v>男</v>
      </c>
      <c r="F586" s="8" t="str">
        <f>"1995-05-03"</f>
        <v>1995-05-03</v>
      </c>
      <c r="G586" s="9"/>
    </row>
    <row r="587" spans="1:7" ht="13.5">
      <c r="A587" s="7">
        <v>585</v>
      </c>
      <c r="B587" s="8" t="str">
        <f>"2341202009071811461990"</f>
        <v>2341202009071811461990</v>
      </c>
      <c r="C587" s="8" t="s">
        <v>8</v>
      </c>
      <c r="D587" s="8" t="str">
        <f>"李鹏霞"</f>
        <v>李鹏霞</v>
      </c>
      <c r="E587" s="8" t="str">
        <f aca="true" t="shared" si="22" ref="E587:E592">"女"</f>
        <v>女</v>
      </c>
      <c r="F587" s="8" t="str">
        <f>"1993-12-20"</f>
        <v>1993-12-20</v>
      </c>
      <c r="G587" s="9"/>
    </row>
    <row r="588" spans="1:7" ht="13.5">
      <c r="A588" s="7">
        <v>586</v>
      </c>
      <c r="B588" s="8" t="str">
        <f>"2341202009071821561992"</f>
        <v>2341202009071821561992</v>
      </c>
      <c r="C588" s="8" t="s">
        <v>8</v>
      </c>
      <c r="D588" s="8" t="str">
        <f>"褚婷婷"</f>
        <v>褚婷婷</v>
      </c>
      <c r="E588" s="8" t="str">
        <f t="shared" si="22"/>
        <v>女</v>
      </c>
      <c r="F588" s="8" t="str">
        <f>"1994-07-01"</f>
        <v>1994-07-01</v>
      </c>
      <c r="G588" s="9"/>
    </row>
    <row r="589" spans="1:7" ht="13.5">
      <c r="A589" s="7">
        <v>587</v>
      </c>
      <c r="B589" s="8" t="str">
        <f>"2341202009071903201995"</f>
        <v>2341202009071903201995</v>
      </c>
      <c r="C589" s="8" t="s">
        <v>8</v>
      </c>
      <c r="D589" s="8" t="str">
        <f>"李小烈"</f>
        <v>李小烈</v>
      </c>
      <c r="E589" s="8" t="str">
        <f t="shared" si="22"/>
        <v>女</v>
      </c>
      <c r="F589" s="8" t="str">
        <f>"1994-08-24"</f>
        <v>1994-08-24</v>
      </c>
      <c r="G589" s="9"/>
    </row>
    <row r="590" spans="1:7" ht="13.5">
      <c r="A590" s="7">
        <v>588</v>
      </c>
      <c r="B590" s="8" t="str">
        <f>"2341202009071912171996"</f>
        <v>2341202009071912171996</v>
      </c>
      <c r="C590" s="8" t="s">
        <v>8</v>
      </c>
      <c r="D590" s="8" t="str">
        <f>"薛冬萍"</f>
        <v>薛冬萍</v>
      </c>
      <c r="E590" s="8" t="str">
        <f t="shared" si="22"/>
        <v>女</v>
      </c>
      <c r="F590" s="8" t="str">
        <f>"1997-05-25"</f>
        <v>1997-05-25</v>
      </c>
      <c r="G590" s="9"/>
    </row>
    <row r="591" spans="1:7" ht="13.5">
      <c r="A591" s="7">
        <v>589</v>
      </c>
      <c r="B591" s="8" t="str">
        <f>"2341202009071923311997"</f>
        <v>2341202009071923311997</v>
      </c>
      <c r="C591" s="8" t="s">
        <v>8</v>
      </c>
      <c r="D591" s="8" t="str">
        <f>"梁飞宇"</f>
        <v>梁飞宇</v>
      </c>
      <c r="E591" s="8" t="str">
        <f t="shared" si="22"/>
        <v>女</v>
      </c>
      <c r="F591" s="8" t="str">
        <f>"1998-12-10"</f>
        <v>1998-12-10</v>
      </c>
      <c r="G591" s="9"/>
    </row>
    <row r="592" spans="1:7" ht="13.5">
      <c r="A592" s="7">
        <v>590</v>
      </c>
      <c r="B592" s="8" t="str">
        <f>"2341202009071926591999"</f>
        <v>2341202009071926591999</v>
      </c>
      <c r="C592" s="8" t="s">
        <v>8</v>
      </c>
      <c r="D592" s="8" t="str">
        <f>"邱文倩"</f>
        <v>邱文倩</v>
      </c>
      <c r="E592" s="8" t="str">
        <f t="shared" si="22"/>
        <v>女</v>
      </c>
      <c r="F592" s="8" t="str">
        <f>"1998-06-11"</f>
        <v>1998-06-11</v>
      </c>
      <c r="G592" s="9"/>
    </row>
    <row r="593" spans="1:7" ht="13.5">
      <c r="A593" s="7">
        <v>591</v>
      </c>
      <c r="B593" s="8" t="str">
        <f>"2341202009071944452002"</f>
        <v>2341202009071944452002</v>
      </c>
      <c r="C593" s="8" t="s">
        <v>8</v>
      </c>
      <c r="D593" s="8" t="str">
        <f>"王有东"</f>
        <v>王有东</v>
      </c>
      <c r="E593" s="8" t="str">
        <f>"男"</f>
        <v>男</v>
      </c>
      <c r="F593" s="8" t="str">
        <f>"1992-03-09"</f>
        <v>1992-03-09</v>
      </c>
      <c r="G593" s="9"/>
    </row>
    <row r="594" spans="1:7" ht="13.5">
      <c r="A594" s="7">
        <v>592</v>
      </c>
      <c r="B594" s="8" t="str">
        <f>"2341202009072007042005"</f>
        <v>2341202009072007042005</v>
      </c>
      <c r="C594" s="8" t="s">
        <v>8</v>
      </c>
      <c r="D594" s="8" t="str">
        <f>"李海佳"</f>
        <v>李海佳</v>
      </c>
      <c r="E594" s="8" t="str">
        <f aca="true" t="shared" si="23" ref="E594:E625">"女"</f>
        <v>女</v>
      </c>
      <c r="F594" s="8" t="str">
        <f>"1997-01-27"</f>
        <v>1997-01-27</v>
      </c>
      <c r="G594" s="9"/>
    </row>
    <row r="595" spans="1:7" ht="13.5">
      <c r="A595" s="7">
        <v>593</v>
      </c>
      <c r="B595" s="8" t="str">
        <f>"2341202009072022442008"</f>
        <v>2341202009072022442008</v>
      </c>
      <c r="C595" s="8" t="s">
        <v>8</v>
      </c>
      <c r="D595" s="8" t="str">
        <f>"陈小慧"</f>
        <v>陈小慧</v>
      </c>
      <c r="E595" s="8" t="str">
        <f t="shared" si="23"/>
        <v>女</v>
      </c>
      <c r="F595" s="8" t="str">
        <f>"1995-08-07"</f>
        <v>1995-08-07</v>
      </c>
      <c r="G595" s="9"/>
    </row>
    <row r="596" spans="1:7" ht="13.5">
      <c r="A596" s="7">
        <v>594</v>
      </c>
      <c r="B596" s="8" t="str">
        <f>"2341202009072028532009"</f>
        <v>2341202009072028532009</v>
      </c>
      <c r="C596" s="8" t="s">
        <v>8</v>
      </c>
      <c r="D596" s="8" t="str">
        <f>"符赵霞"</f>
        <v>符赵霞</v>
      </c>
      <c r="E596" s="8" t="str">
        <f t="shared" si="23"/>
        <v>女</v>
      </c>
      <c r="F596" s="8" t="str">
        <f>"1996-12-25"</f>
        <v>1996-12-25</v>
      </c>
      <c r="G596" s="9"/>
    </row>
    <row r="597" spans="1:7" ht="13.5">
      <c r="A597" s="7">
        <v>595</v>
      </c>
      <c r="B597" s="8" t="str">
        <f>"2341202009072032392011"</f>
        <v>2341202009072032392011</v>
      </c>
      <c r="C597" s="8" t="s">
        <v>8</v>
      </c>
      <c r="D597" s="8" t="str">
        <f>"李梦怡"</f>
        <v>李梦怡</v>
      </c>
      <c r="E597" s="8" t="str">
        <f t="shared" si="23"/>
        <v>女</v>
      </c>
      <c r="F597" s="8" t="str">
        <f>"1996-03-29"</f>
        <v>1996-03-29</v>
      </c>
      <c r="G597" s="9"/>
    </row>
    <row r="598" spans="1:7" ht="13.5">
      <c r="A598" s="7">
        <v>596</v>
      </c>
      <c r="B598" s="8" t="str">
        <f>"2341202009072039502013"</f>
        <v>2341202009072039502013</v>
      </c>
      <c r="C598" s="8" t="s">
        <v>8</v>
      </c>
      <c r="D598" s="8" t="str">
        <f>"王华月"</f>
        <v>王华月</v>
      </c>
      <c r="E598" s="8" t="str">
        <f t="shared" si="23"/>
        <v>女</v>
      </c>
      <c r="F598" s="8" t="str">
        <f>"1995-02-24"</f>
        <v>1995-02-24</v>
      </c>
      <c r="G598" s="9"/>
    </row>
    <row r="599" spans="1:7" ht="13.5">
      <c r="A599" s="7">
        <v>597</v>
      </c>
      <c r="B599" s="8" t="str">
        <f>"2341202009072040072014"</f>
        <v>2341202009072040072014</v>
      </c>
      <c r="C599" s="8" t="s">
        <v>8</v>
      </c>
      <c r="D599" s="8" t="str">
        <f>"陈颖"</f>
        <v>陈颖</v>
      </c>
      <c r="E599" s="8" t="str">
        <f t="shared" si="23"/>
        <v>女</v>
      </c>
      <c r="F599" s="8" t="str">
        <f>"1993-06-09"</f>
        <v>1993-06-09</v>
      </c>
      <c r="G599" s="9"/>
    </row>
    <row r="600" spans="1:7" ht="13.5">
      <c r="A600" s="7">
        <v>598</v>
      </c>
      <c r="B600" s="8" t="str">
        <f>"2341202009072041152015"</f>
        <v>2341202009072041152015</v>
      </c>
      <c r="C600" s="8" t="s">
        <v>8</v>
      </c>
      <c r="D600" s="8" t="str">
        <f>"吴程燕"</f>
        <v>吴程燕</v>
      </c>
      <c r="E600" s="8" t="str">
        <f t="shared" si="23"/>
        <v>女</v>
      </c>
      <c r="F600" s="8" t="str">
        <f>"1992-12-15"</f>
        <v>1992-12-15</v>
      </c>
      <c r="G600" s="9"/>
    </row>
    <row r="601" spans="1:7" ht="13.5">
      <c r="A601" s="7">
        <v>599</v>
      </c>
      <c r="B601" s="8" t="str">
        <f>"2341202009072122512022"</f>
        <v>2341202009072122512022</v>
      </c>
      <c r="C601" s="8" t="s">
        <v>8</v>
      </c>
      <c r="D601" s="8" t="str">
        <f>"吴梦雅"</f>
        <v>吴梦雅</v>
      </c>
      <c r="E601" s="8" t="str">
        <f t="shared" si="23"/>
        <v>女</v>
      </c>
      <c r="F601" s="8" t="str">
        <f>"1991-07-30"</f>
        <v>1991-07-30</v>
      </c>
      <c r="G601" s="9"/>
    </row>
    <row r="602" spans="1:7" ht="13.5">
      <c r="A602" s="7">
        <v>600</v>
      </c>
      <c r="B602" s="8" t="str">
        <f>"2341202009080817432038"</f>
        <v>2341202009080817432038</v>
      </c>
      <c r="C602" s="8" t="s">
        <v>8</v>
      </c>
      <c r="D602" s="8" t="str">
        <f>"王金美"</f>
        <v>王金美</v>
      </c>
      <c r="E602" s="8" t="str">
        <f t="shared" si="23"/>
        <v>女</v>
      </c>
      <c r="F602" s="8" t="str">
        <f>"1989-05-13"</f>
        <v>1989-05-13</v>
      </c>
      <c r="G602" s="9"/>
    </row>
    <row r="603" spans="1:7" ht="13.5">
      <c r="A603" s="7">
        <v>601</v>
      </c>
      <c r="B603" s="8" t="str">
        <f>"2341202009080923012043"</f>
        <v>2341202009080923012043</v>
      </c>
      <c r="C603" s="8" t="s">
        <v>8</v>
      </c>
      <c r="D603" s="8" t="str">
        <f>"林慧芳"</f>
        <v>林慧芳</v>
      </c>
      <c r="E603" s="8" t="str">
        <f t="shared" si="23"/>
        <v>女</v>
      </c>
      <c r="F603" s="8" t="str">
        <f>"1993-08-17"</f>
        <v>1993-08-17</v>
      </c>
      <c r="G603" s="9"/>
    </row>
    <row r="604" spans="1:7" ht="13.5">
      <c r="A604" s="7">
        <v>602</v>
      </c>
      <c r="B604" s="8" t="str">
        <f>"2341202009080933512045"</f>
        <v>2341202009080933512045</v>
      </c>
      <c r="C604" s="8" t="s">
        <v>8</v>
      </c>
      <c r="D604" s="8" t="str">
        <f>"陈小婷"</f>
        <v>陈小婷</v>
      </c>
      <c r="E604" s="8" t="str">
        <f t="shared" si="23"/>
        <v>女</v>
      </c>
      <c r="F604" s="8" t="str">
        <f>"1994-12-21"</f>
        <v>1994-12-21</v>
      </c>
      <c r="G604" s="9"/>
    </row>
    <row r="605" spans="1:7" ht="13.5">
      <c r="A605" s="7">
        <v>603</v>
      </c>
      <c r="B605" s="8" t="str">
        <f>"2341202009081004092048"</f>
        <v>2341202009081004092048</v>
      </c>
      <c r="C605" s="8" t="s">
        <v>8</v>
      </c>
      <c r="D605" s="8" t="str">
        <f>"刘虹杏"</f>
        <v>刘虹杏</v>
      </c>
      <c r="E605" s="8" t="str">
        <f t="shared" si="23"/>
        <v>女</v>
      </c>
      <c r="F605" s="8" t="str">
        <f>"1995-11-04"</f>
        <v>1995-11-04</v>
      </c>
      <c r="G605" s="9"/>
    </row>
    <row r="606" spans="1:7" ht="13.5">
      <c r="A606" s="7">
        <v>604</v>
      </c>
      <c r="B606" s="8" t="str">
        <f>"2341202009081044122051"</f>
        <v>2341202009081044122051</v>
      </c>
      <c r="C606" s="8" t="s">
        <v>8</v>
      </c>
      <c r="D606" s="8" t="str">
        <f>"邢水汝"</f>
        <v>邢水汝</v>
      </c>
      <c r="E606" s="8" t="str">
        <f t="shared" si="23"/>
        <v>女</v>
      </c>
      <c r="F606" s="8" t="str">
        <f>"1991-04-23"</f>
        <v>1991-04-23</v>
      </c>
      <c r="G606" s="9"/>
    </row>
    <row r="607" spans="1:7" ht="13.5">
      <c r="A607" s="7">
        <v>605</v>
      </c>
      <c r="B607" s="8" t="str">
        <f>"2341202009081045472053"</f>
        <v>2341202009081045472053</v>
      </c>
      <c r="C607" s="8" t="s">
        <v>8</v>
      </c>
      <c r="D607" s="8" t="str">
        <f>"林珠玛"</f>
        <v>林珠玛</v>
      </c>
      <c r="E607" s="8" t="str">
        <f t="shared" si="23"/>
        <v>女</v>
      </c>
      <c r="F607" s="8" t="str">
        <f>"1990-08-08"</f>
        <v>1990-08-08</v>
      </c>
      <c r="G607" s="9"/>
    </row>
    <row r="608" spans="1:7" ht="13.5">
      <c r="A608" s="7">
        <v>606</v>
      </c>
      <c r="B608" s="8" t="str">
        <f>"2341202009081054072056"</f>
        <v>2341202009081054072056</v>
      </c>
      <c r="C608" s="8" t="s">
        <v>8</v>
      </c>
      <c r="D608" s="8" t="str">
        <f>"陈俊婷"</f>
        <v>陈俊婷</v>
      </c>
      <c r="E608" s="8" t="str">
        <f t="shared" si="23"/>
        <v>女</v>
      </c>
      <c r="F608" s="8" t="str">
        <f>"1993-09-16"</f>
        <v>1993-09-16</v>
      </c>
      <c r="G608" s="9"/>
    </row>
    <row r="609" spans="1:7" ht="13.5">
      <c r="A609" s="7">
        <v>607</v>
      </c>
      <c r="B609" s="8" t="str">
        <f>"2341202009081054182057"</f>
        <v>2341202009081054182057</v>
      </c>
      <c r="C609" s="8" t="s">
        <v>8</v>
      </c>
      <c r="D609" s="8" t="str">
        <f>"邢露露"</f>
        <v>邢露露</v>
      </c>
      <c r="E609" s="8" t="str">
        <f t="shared" si="23"/>
        <v>女</v>
      </c>
      <c r="F609" s="8" t="str">
        <f>"1994-06-12"</f>
        <v>1994-06-12</v>
      </c>
      <c r="G609" s="9"/>
    </row>
    <row r="610" spans="1:7" ht="13.5">
      <c r="A610" s="7">
        <v>608</v>
      </c>
      <c r="B610" s="8" t="str">
        <f>"2341202009081102502059"</f>
        <v>2341202009081102502059</v>
      </c>
      <c r="C610" s="8" t="s">
        <v>8</v>
      </c>
      <c r="D610" s="8" t="str">
        <f>"许先娇"</f>
        <v>许先娇</v>
      </c>
      <c r="E610" s="8" t="str">
        <f t="shared" si="23"/>
        <v>女</v>
      </c>
      <c r="F610" s="8" t="str">
        <f>"1993-04-06"</f>
        <v>1993-04-06</v>
      </c>
      <c r="G610" s="9"/>
    </row>
    <row r="611" spans="1:7" ht="13.5">
      <c r="A611" s="7">
        <v>609</v>
      </c>
      <c r="B611" s="8" t="str">
        <f>"2341202009081102592060"</f>
        <v>2341202009081102592060</v>
      </c>
      <c r="C611" s="8" t="s">
        <v>8</v>
      </c>
      <c r="D611" s="8" t="str">
        <f>"杨一婷"</f>
        <v>杨一婷</v>
      </c>
      <c r="E611" s="8" t="str">
        <f t="shared" si="23"/>
        <v>女</v>
      </c>
      <c r="F611" s="8" t="str">
        <f>"1993-03-12"</f>
        <v>1993-03-12</v>
      </c>
      <c r="G611" s="9"/>
    </row>
    <row r="612" spans="1:7" ht="13.5">
      <c r="A612" s="7">
        <v>610</v>
      </c>
      <c r="B612" s="8" t="str">
        <f>"2341202009081104292061"</f>
        <v>2341202009081104292061</v>
      </c>
      <c r="C612" s="8" t="s">
        <v>8</v>
      </c>
      <c r="D612" s="8" t="str">
        <f>"李虹"</f>
        <v>李虹</v>
      </c>
      <c r="E612" s="8" t="str">
        <f t="shared" si="23"/>
        <v>女</v>
      </c>
      <c r="F612" s="8" t="str">
        <f>"1993-01-17"</f>
        <v>1993-01-17</v>
      </c>
      <c r="G612" s="9"/>
    </row>
    <row r="613" spans="1:7" ht="13.5">
      <c r="A613" s="7">
        <v>611</v>
      </c>
      <c r="B613" s="8" t="str">
        <f>"2341202009081104352062"</f>
        <v>2341202009081104352062</v>
      </c>
      <c r="C613" s="8" t="s">
        <v>8</v>
      </c>
      <c r="D613" s="8" t="str">
        <f>"吕婉"</f>
        <v>吕婉</v>
      </c>
      <c r="E613" s="8" t="str">
        <f t="shared" si="23"/>
        <v>女</v>
      </c>
      <c r="F613" s="8" t="str">
        <f>"1996-08-09"</f>
        <v>1996-08-09</v>
      </c>
      <c r="G613" s="9"/>
    </row>
    <row r="614" spans="1:7" ht="13.5">
      <c r="A614" s="7">
        <v>612</v>
      </c>
      <c r="B614" s="8" t="str">
        <f>"2341202009081146402070"</f>
        <v>2341202009081146402070</v>
      </c>
      <c r="C614" s="8" t="s">
        <v>8</v>
      </c>
      <c r="D614" s="8" t="str">
        <f>"郑瑶"</f>
        <v>郑瑶</v>
      </c>
      <c r="E614" s="8" t="str">
        <f t="shared" si="23"/>
        <v>女</v>
      </c>
      <c r="F614" s="8" t="str">
        <f>"1996-09-18"</f>
        <v>1996-09-18</v>
      </c>
      <c r="G614" s="9"/>
    </row>
    <row r="615" spans="1:7" ht="13.5">
      <c r="A615" s="7">
        <v>613</v>
      </c>
      <c r="B615" s="8" t="str">
        <f>"2341202009081150032072"</f>
        <v>2341202009081150032072</v>
      </c>
      <c r="C615" s="8" t="s">
        <v>8</v>
      </c>
      <c r="D615" s="8" t="str">
        <f>"杜旭彤"</f>
        <v>杜旭彤</v>
      </c>
      <c r="E615" s="8" t="str">
        <f t="shared" si="23"/>
        <v>女</v>
      </c>
      <c r="F615" s="8" t="str">
        <f>"1993-04-23"</f>
        <v>1993-04-23</v>
      </c>
      <c r="G615" s="9"/>
    </row>
    <row r="616" spans="1:7" ht="13.5">
      <c r="A616" s="7">
        <v>614</v>
      </c>
      <c r="B616" s="8" t="str">
        <f>"2341202009081209542073"</f>
        <v>2341202009081209542073</v>
      </c>
      <c r="C616" s="8" t="s">
        <v>8</v>
      </c>
      <c r="D616" s="8" t="str">
        <f>"黄媛媛"</f>
        <v>黄媛媛</v>
      </c>
      <c r="E616" s="8" t="str">
        <f t="shared" si="23"/>
        <v>女</v>
      </c>
      <c r="F616" s="8" t="str">
        <f>"1996-07-03"</f>
        <v>1996-07-03</v>
      </c>
      <c r="G616" s="9"/>
    </row>
    <row r="617" spans="1:7" ht="13.5">
      <c r="A617" s="7">
        <v>615</v>
      </c>
      <c r="B617" s="8" t="str">
        <f>"2341202009081249032077"</f>
        <v>2341202009081249032077</v>
      </c>
      <c r="C617" s="8" t="s">
        <v>8</v>
      </c>
      <c r="D617" s="8" t="str">
        <f>"符兰珍"</f>
        <v>符兰珍</v>
      </c>
      <c r="E617" s="8" t="str">
        <f t="shared" si="23"/>
        <v>女</v>
      </c>
      <c r="F617" s="8" t="str">
        <f>"1992-01-04"</f>
        <v>1992-01-04</v>
      </c>
      <c r="G617" s="9"/>
    </row>
    <row r="618" spans="1:7" ht="13.5">
      <c r="A618" s="7">
        <v>616</v>
      </c>
      <c r="B618" s="8" t="str">
        <f>"2341202009081304102079"</f>
        <v>2341202009081304102079</v>
      </c>
      <c r="C618" s="8" t="s">
        <v>8</v>
      </c>
      <c r="D618" s="8" t="str">
        <f>"李明秀"</f>
        <v>李明秀</v>
      </c>
      <c r="E618" s="8" t="str">
        <f t="shared" si="23"/>
        <v>女</v>
      </c>
      <c r="F618" s="8" t="str">
        <f>"1997-04-16"</f>
        <v>1997-04-16</v>
      </c>
      <c r="G618" s="9"/>
    </row>
    <row r="619" spans="1:7" ht="13.5">
      <c r="A619" s="7">
        <v>617</v>
      </c>
      <c r="B619" s="8" t="str">
        <f>"2341202009081316582081"</f>
        <v>2341202009081316582081</v>
      </c>
      <c r="C619" s="8" t="s">
        <v>8</v>
      </c>
      <c r="D619" s="8" t="str">
        <f>"麦池"</f>
        <v>麦池</v>
      </c>
      <c r="E619" s="8" t="str">
        <f t="shared" si="23"/>
        <v>女</v>
      </c>
      <c r="F619" s="8" t="str">
        <f>"1994-06-13"</f>
        <v>1994-06-13</v>
      </c>
      <c r="G619" s="9"/>
    </row>
    <row r="620" spans="1:7" ht="13.5">
      <c r="A620" s="7">
        <v>618</v>
      </c>
      <c r="B620" s="8" t="str">
        <f>"2341202009081456372088"</f>
        <v>2341202009081456372088</v>
      </c>
      <c r="C620" s="8" t="s">
        <v>8</v>
      </c>
      <c r="D620" s="8" t="str">
        <f>"邹冬梅"</f>
        <v>邹冬梅</v>
      </c>
      <c r="E620" s="8" t="str">
        <f t="shared" si="23"/>
        <v>女</v>
      </c>
      <c r="F620" s="8" t="str">
        <f>"1992-11-17"</f>
        <v>1992-11-17</v>
      </c>
      <c r="G620" s="9"/>
    </row>
    <row r="621" spans="1:7" ht="13.5">
      <c r="A621" s="7">
        <v>619</v>
      </c>
      <c r="B621" s="8" t="str">
        <f>"2341202009081508582094"</f>
        <v>2341202009081508582094</v>
      </c>
      <c r="C621" s="8" t="s">
        <v>8</v>
      </c>
      <c r="D621" s="8" t="str">
        <f>"李青苧"</f>
        <v>李青苧</v>
      </c>
      <c r="E621" s="8" t="str">
        <f t="shared" si="23"/>
        <v>女</v>
      </c>
      <c r="F621" s="8" t="str">
        <f>"1993-12-26"</f>
        <v>1993-12-26</v>
      </c>
      <c r="G621" s="9"/>
    </row>
    <row r="622" spans="1:7" ht="13.5">
      <c r="A622" s="7">
        <v>620</v>
      </c>
      <c r="B622" s="8" t="str">
        <f>"2341202009081552222102"</f>
        <v>2341202009081552222102</v>
      </c>
      <c r="C622" s="8" t="s">
        <v>8</v>
      </c>
      <c r="D622" s="8" t="str">
        <f>"洪恩娟"</f>
        <v>洪恩娟</v>
      </c>
      <c r="E622" s="8" t="str">
        <f t="shared" si="23"/>
        <v>女</v>
      </c>
      <c r="F622" s="8" t="str">
        <f>"1992-07-23"</f>
        <v>1992-07-23</v>
      </c>
      <c r="G622" s="9"/>
    </row>
    <row r="623" spans="1:7" ht="13.5">
      <c r="A623" s="7">
        <v>621</v>
      </c>
      <c r="B623" s="8" t="str">
        <f>"2341202009081614312106"</f>
        <v>2341202009081614312106</v>
      </c>
      <c r="C623" s="8" t="s">
        <v>8</v>
      </c>
      <c r="D623" s="8" t="str">
        <f>"范珊珊"</f>
        <v>范珊珊</v>
      </c>
      <c r="E623" s="8" t="str">
        <f t="shared" si="23"/>
        <v>女</v>
      </c>
      <c r="F623" s="8" t="str">
        <f>"1995-07-13"</f>
        <v>1995-07-13</v>
      </c>
      <c r="G623" s="9"/>
    </row>
    <row r="624" spans="1:7" ht="13.5">
      <c r="A624" s="7">
        <v>622</v>
      </c>
      <c r="B624" s="8" t="str">
        <f>"2341202009081646452116"</f>
        <v>2341202009081646452116</v>
      </c>
      <c r="C624" s="8" t="s">
        <v>8</v>
      </c>
      <c r="D624" s="8" t="str">
        <f>"葛欢欢"</f>
        <v>葛欢欢</v>
      </c>
      <c r="E624" s="8" t="str">
        <f t="shared" si="23"/>
        <v>女</v>
      </c>
      <c r="F624" s="8" t="str">
        <f>"1993-09-08"</f>
        <v>1993-09-08</v>
      </c>
      <c r="G624" s="9"/>
    </row>
    <row r="625" spans="1:7" ht="13.5">
      <c r="A625" s="7">
        <v>623</v>
      </c>
      <c r="B625" s="8" t="str">
        <f>"2341202009081647112117"</f>
        <v>2341202009081647112117</v>
      </c>
      <c r="C625" s="8" t="s">
        <v>8</v>
      </c>
      <c r="D625" s="8" t="str">
        <f>"苏晓燕"</f>
        <v>苏晓燕</v>
      </c>
      <c r="E625" s="8" t="str">
        <f t="shared" si="23"/>
        <v>女</v>
      </c>
      <c r="F625" s="8" t="str">
        <f>"1991-07-03"</f>
        <v>1991-07-03</v>
      </c>
      <c r="G625" s="9"/>
    </row>
    <row r="626" spans="1:7" ht="13.5">
      <c r="A626" s="7">
        <v>624</v>
      </c>
      <c r="B626" s="8" t="str">
        <f>"2341202009081651422118"</f>
        <v>2341202009081651422118</v>
      </c>
      <c r="C626" s="8" t="s">
        <v>8</v>
      </c>
      <c r="D626" s="8" t="str">
        <f>"尹小繁"</f>
        <v>尹小繁</v>
      </c>
      <c r="E626" s="8" t="str">
        <f aca="true" t="shared" si="24" ref="E626:E657">"女"</f>
        <v>女</v>
      </c>
      <c r="F626" s="8" t="str">
        <f>"1995-05-27"</f>
        <v>1995-05-27</v>
      </c>
      <c r="G626" s="9"/>
    </row>
    <row r="627" spans="1:7" ht="13.5">
      <c r="A627" s="7">
        <v>625</v>
      </c>
      <c r="B627" s="8" t="str">
        <f>"2341202009081701142120"</f>
        <v>2341202009081701142120</v>
      </c>
      <c r="C627" s="8" t="s">
        <v>8</v>
      </c>
      <c r="D627" s="8" t="str">
        <f>"陈雪萍"</f>
        <v>陈雪萍</v>
      </c>
      <c r="E627" s="8" t="str">
        <f t="shared" si="24"/>
        <v>女</v>
      </c>
      <c r="F627" s="8" t="str">
        <f>"1990-06-14"</f>
        <v>1990-06-14</v>
      </c>
      <c r="G627" s="9"/>
    </row>
    <row r="628" spans="1:7" ht="13.5">
      <c r="A628" s="7">
        <v>626</v>
      </c>
      <c r="B628" s="8" t="str">
        <f>"2341202009081708462122"</f>
        <v>2341202009081708462122</v>
      </c>
      <c r="C628" s="8" t="s">
        <v>8</v>
      </c>
      <c r="D628" s="8" t="str">
        <f>"刘珊珊"</f>
        <v>刘珊珊</v>
      </c>
      <c r="E628" s="8" t="str">
        <f t="shared" si="24"/>
        <v>女</v>
      </c>
      <c r="F628" s="8" t="str">
        <f>"1992-03-20"</f>
        <v>1992-03-20</v>
      </c>
      <c r="G628" s="9"/>
    </row>
    <row r="629" spans="1:7" ht="13.5">
      <c r="A629" s="7">
        <v>627</v>
      </c>
      <c r="B629" s="8" t="str">
        <f>"2341202009081734122126"</f>
        <v>2341202009081734122126</v>
      </c>
      <c r="C629" s="8" t="s">
        <v>8</v>
      </c>
      <c r="D629" s="8" t="str">
        <f>"黎丽菁"</f>
        <v>黎丽菁</v>
      </c>
      <c r="E629" s="8" t="str">
        <f t="shared" si="24"/>
        <v>女</v>
      </c>
      <c r="F629" s="8" t="str">
        <f>"1996-01-05"</f>
        <v>1996-01-05</v>
      </c>
      <c r="G629" s="9"/>
    </row>
    <row r="630" spans="1:7" ht="13.5">
      <c r="A630" s="7">
        <v>628</v>
      </c>
      <c r="B630" s="8" t="str">
        <f>"2341202009081745352127"</f>
        <v>2341202009081745352127</v>
      </c>
      <c r="C630" s="8" t="s">
        <v>8</v>
      </c>
      <c r="D630" s="8" t="str">
        <f>"文敬珍"</f>
        <v>文敬珍</v>
      </c>
      <c r="E630" s="8" t="str">
        <f t="shared" si="24"/>
        <v>女</v>
      </c>
      <c r="F630" s="8" t="str">
        <f>"1992-11-05"</f>
        <v>1992-11-05</v>
      </c>
      <c r="G630" s="9"/>
    </row>
    <row r="631" spans="1:7" ht="13.5">
      <c r="A631" s="7">
        <v>629</v>
      </c>
      <c r="B631" s="8" t="str">
        <f>"2341202009081808542129"</f>
        <v>2341202009081808542129</v>
      </c>
      <c r="C631" s="8" t="s">
        <v>8</v>
      </c>
      <c r="D631" s="8" t="str">
        <f>"卓汉妹"</f>
        <v>卓汉妹</v>
      </c>
      <c r="E631" s="8" t="str">
        <f t="shared" si="24"/>
        <v>女</v>
      </c>
      <c r="F631" s="8" t="str">
        <f>"1994-05-04"</f>
        <v>1994-05-04</v>
      </c>
      <c r="G631" s="9"/>
    </row>
    <row r="632" spans="1:7" ht="13.5">
      <c r="A632" s="7">
        <v>630</v>
      </c>
      <c r="B632" s="8" t="str">
        <f>"2341202009081815332131"</f>
        <v>2341202009081815332131</v>
      </c>
      <c r="C632" s="8" t="s">
        <v>8</v>
      </c>
      <c r="D632" s="8" t="str">
        <f>"王丽"</f>
        <v>王丽</v>
      </c>
      <c r="E632" s="8" t="str">
        <f t="shared" si="24"/>
        <v>女</v>
      </c>
      <c r="F632" s="8" t="str">
        <f>"1997-05-18"</f>
        <v>1997-05-18</v>
      </c>
      <c r="G632" s="9"/>
    </row>
    <row r="633" spans="1:7" ht="13.5">
      <c r="A633" s="7">
        <v>631</v>
      </c>
      <c r="B633" s="8" t="str">
        <f>"2341202009081816512132"</f>
        <v>2341202009081816512132</v>
      </c>
      <c r="C633" s="8" t="s">
        <v>8</v>
      </c>
      <c r="D633" s="8" t="str">
        <f>"余珍娟"</f>
        <v>余珍娟</v>
      </c>
      <c r="E633" s="8" t="str">
        <f t="shared" si="24"/>
        <v>女</v>
      </c>
      <c r="F633" s="8" t="str">
        <f>"1992-03-25"</f>
        <v>1992-03-25</v>
      </c>
      <c r="G633" s="9"/>
    </row>
    <row r="634" spans="1:7" ht="13.5">
      <c r="A634" s="7">
        <v>632</v>
      </c>
      <c r="B634" s="8" t="str">
        <f>"2341202009081855362137"</f>
        <v>2341202009081855362137</v>
      </c>
      <c r="C634" s="8" t="s">
        <v>8</v>
      </c>
      <c r="D634" s="8" t="str">
        <f>"庞惠茵"</f>
        <v>庞惠茵</v>
      </c>
      <c r="E634" s="8" t="str">
        <f t="shared" si="24"/>
        <v>女</v>
      </c>
      <c r="F634" s="8" t="str">
        <f>"1993-08-21"</f>
        <v>1993-08-21</v>
      </c>
      <c r="G634" s="9"/>
    </row>
    <row r="635" spans="1:7" ht="13.5">
      <c r="A635" s="7">
        <v>633</v>
      </c>
      <c r="B635" s="8" t="str">
        <f>"2341202009081938302144"</f>
        <v>2341202009081938302144</v>
      </c>
      <c r="C635" s="8" t="s">
        <v>8</v>
      </c>
      <c r="D635" s="8" t="str">
        <f>"赵颖"</f>
        <v>赵颖</v>
      </c>
      <c r="E635" s="8" t="str">
        <f t="shared" si="24"/>
        <v>女</v>
      </c>
      <c r="F635" s="8" t="str">
        <f>"1988-11-12"</f>
        <v>1988-11-12</v>
      </c>
      <c r="G635" s="9"/>
    </row>
    <row r="636" spans="1:7" ht="13.5">
      <c r="A636" s="7">
        <v>634</v>
      </c>
      <c r="B636" s="8" t="str">
        <f>"2341202009081945162145"</f>
        <v>2341202009081945162145</v>
      </c>
      <c r="C636" s="8" t="s">
        <v>8</v>
      </c>
      <c r="D636" s="8" t="str">
        <f>"符轩荟"</f>
        <v>符轩荟</v>
      </c>
      <c r="E636" s="8" t="str">
        <f t="shared" si="24"/>
        <v>女</v>
      </c>
      <c r="F636" s="8" t="str">
        <f>"1999-01-21"</f>
        <v>1999-01-21</v>
      </c>
      <c r="G636" s="9"/>
    </row>
    <row r="637" spans="1:7" ht="13.5">
      <c r="A637" s="7">
        <v>635</v>
      </c>
      <c r="B637" s="8" t="str">
        <f>"2341202009081958112147"</f>
        <v>2341202009081958112147</v>
      </c>
      <c r="C637" s="8" t="s">
        <v>8</v>
      </c>
      <c r="D637" s="8" t="str">
        <f>"唐天凤"</f>
        <v>唐天凤</v>
      </c>
      <c r="E637" s="8" t="str">
        <f t="shared" si="24"/>
        <v>女</v>
      </c>
      <c r="F637" s="8" t="str">
        <f>"1996-04-13"</f>
        <v>1996-04-13</v>
      </c>
      <c r="G637" s="9"/>
    </row>
    <row r="638" spans="1:7" ht="13.5">
      <c r="A638" s="7">
        <v>636</v>
      </c>
      <c r="B638" s="8" t="str">
        <f>"2341202009082007062149"</f>
        <v>2341202009082007062149</v>
      </c>
      <c r="C638" s="8" t="s">
        <v>8</v>
      </c>
      <c r="D638" s="8" t="str">
        <f>"肖巧慧"</f>
        <v>肖巧慧</v>
      </c>
      <c r="E638" s="8" t="str">
        <f t="shared" si="24"/>
        <v>女</v>
      </c>
      <c r="F638" s="8" t="str">
        <f>"1998-04-18"</f>
        <v>1998-04-18</v>
      </c>
      <c r="G638" s="9"/>
    </row>
    <row r="639" spans="1:7" ht="13.5">
      <c r="A639" s="7">
        <v>637</v>
      </c>
      <c r="B639" s="8" t="str">
        <f>"2341202009082021142152"</f>
        <v>2341202009082021142152</v>
      </c>
      <c r="C639" s="8" t="s">
        <v>8</v>
      </c>
      <c r="D639" s="8" t="str">
        <f>"李晓"</f>
        <v>李晓</v>
      </c>
      <c r="E639" s="8" t="str">
        <f t="shared" si="24"/>
        <v>女</v>
      </c>
      <c r="F639" s="8" t="str">
        <f>"1994-10-01"</f>
        <v>1994-10-01</v>
      </c>
      <c r="G639" s="9"/>
    </row>
    <row r="640" spans="1:7" ht="13.5">
      <c r="A640" s="7">
        <v>638</v>
      </c>
      <c r="B640" s="8" t="str">
        <f>"2341202009082041522155"</f>
        <v>2341202009082041522155</v>
      </c>
      <c r="C640" s="8" t="s">
        <v>8</v>
      </c>
      <c r="D640" s="8" t="str">
        <f>"吉美仙"</f>
        <v>吉美仙</v>
      </c>
      <c r="E640" s="8" t="str">
        <f t="shared" si="24"/>
        <v>女</v>
      </c>
      <c r="F640" s="8" t="str">
        <f>"1992-08-10"</f>
        <v>1992-08-10</v>
      </c>
      <c r="G640" s="9"/>
    </row>
    <row r="641" spans="1:7" ht="13.5">
      <c r="A641" s="7">
        <v>639</v>
      </c>
      <c r="B641" s="8" t="str">
        <f>"2341202009082049172158"</f>
        <v>2341202009082049172158</v>
      </c>
      <c r="C641" s="8" t="s">
        <v>8</v>
      </c>
      <c r="D641" s="8" t="str">
        <f>"杨元妹"</f>
        <v>杨元妹</v>
      </c>
      <c r="E641" s="8" t="str">
        <f t="shared" si="24"/>
        <v>女</v>
      </c>
      <c r="F641" s="8" t="str">
        <f>"1989-05-21"</f>
        <v>1989-05-21</v>
      </c>
      <c r="G641" s="9"/>
    </row>
    <row r="642" spans="1:7" ht="13.5">
      <c r="A642" s="7">
        <v>640</v>
      </c>
      <c r="B642" s="8" t="str">
        <f>"2341202009082051542159"</f>
        <v>2341202009082051542159</v>
      </c>
      <c r="C642" s="8" t="s">
        <v>8</v>
      </c>
      <c r="D642" s="8" t="str">
        <f>"古庭玮"</f>
        <v>古庭玮</v>
      </c>
      <c r="E642" s="8" t="str">
        <f t="shared" si="24"/>
        <v>女</v>
      </c>
      <c r="F642" s="8" t="str">
        <f>"1994-08-31"</f>
        <v>1994-08-31</v>
      </c>
      <c r="G642" s="9"/>
    </row>
    <row r="643" spans="1:7" ht="13.5">
      <c r="A643" s="7">
        <v>641</v>
      </c>
      <c r="B643" s="8" t="str">
        <f>"2341202009082100192162"</f>
        <v>2341202009082100192162</v>
      </c>
      <c r="C643" s="8" t="s">
        <v>8</v>
      </c>
      <c r="D643" s="8" t="str">
        <f>"陈丽雯"</f>
        <v>陈丽雯</v>
      </c>
      <c r="E643" s="8" t="str">
        <f t="shared" si="24"/>
        <v>女</v>
      </c>
      <c r="F643" s="8" t="str">
        <f>"1993-09-25"</f>
        <v>1993-09-25</v>
      </c>
      <c r="G643" s="9"/>
    </row>
    <row r="644" spans="1:7" ht="13.5">
      <c r="A644" s="7">
        <v>642</v>
      </c>
      <c r="B644" s="8" t="str">
        <f>"2341202009082102372163"</f>
        <v>2341202009082102372163</v>
      </c>
      <c r="C644" s="8" t="s">
        <v>8</v>
      </c>
      <c r="D644" s="8" t="str">
        <f>"苏莹"</f>
        <v>苏莹</v>
      </c>
      <c r="E644" s="8" t="str">
        <f t="shared" si="24"/>
        <v>女</v>
      </c>
      <c r="F644" s="8" t="str">
        <f>"1993-08-12"</f>
        <v>1993-08-12</v>
      </c>
      <c r="G644" s="9"/>
    </row>
    <row r="645" spans="1:7" ht="13.5">
      <c r="A645" s="7">
        <v>643</v>
      </c>
      <c r="B645" s="8" t="str">
        <f>"2341202009082120332168"</f>
        <v>2341202009082120332168</v>
      </c>
      <c r="C645" s="8" t="s">
        <v>8</v>
      </c>
      <c r="D645" s="8" t="str">
        <f>"黄朔欣"</f>
        <v>黄朔欣</v>
      </c>
      <c r="E645" s="8" t="str">
        <f t="shared" si="24"/>
        <v>女</v>
      </c>
      <c r="F645" s="8" t="str">
        <f>"1997-03-09"</f>
        <v>1997-03-09</v>
      </c>
      <c r="G645" s="9"/>
    </row>
    <row r="646" spans="1:7" ht="13.5">
      <c r="A646" s="7">
        <v>644</v>
      </c>
      <c r="B646" s="8" t="str">
        <f>"2341202009082130082169"</f>
        <v>2341202009082130082169</v>
      </c>
      <c r="C646" s="8" t="s">
        <v>8</v>
      </c>
      <c r="D646" s="8" t="str">
        <f>"陈娟"</f>
        <v>陈娟</v>
      </c>
      <c r="E646" s="8" t="str">
        <f t="shared" si="24"/>
        <v>女</v>
      </c>
      <c r="F646" s="8" t="str">
        <f>"1995-11-21"</f>
        <v>1995-11-21</v>
      </c>
      <c r="G646" s="9"/>
    </row>
    <row r="647" spans="1:7" ht="13.5">
      <c r="A647" s="7">
        <v>645</v>
      </c>
      <c r="B647" s="8" t="str">
        <f>"2341202009082131322170"</f>
        <v>2341202009082131322170</v>
      </c>
      <c r="C647" s="8" t="s">
        <v>8</v>
      </c>
      <c r="D647" s="8" t="str">
        <f>"黄奕琳"</f>
        <v>黄奕琳</v>
      </c>
      <c r="E647" s="8" t="str">
        <f t="shared" si="24"/>
        <v>女</v>
      </c>
      <c r="F647" s="8" t="str">
        <f>"1994-05-02"</f>
        <v>1994-05-02</v>
      </c>
      <c r="G647" s="9"/>
    </row>
    <row r="648" spans="1:7" ht="13.5">
      <c r="A648" s="7">
        <v>646</v>
      </c>
      <c r="B648" s="8" t="str">
        <f>"2341202009082134262171"</f>
        <v>2341202009082134262171</v>
      </c>
      <c r="C648" s="8" t="s">
        <v>8</v>
      </c>
      <c r="D648" s="8" t="str">
        <f>"何莲子"</f>
        <v>何莲子</v>
      </c>
      <c r="E648" s="8" t="str">
        <f t="shared" si="24"/>
        <v>女</v>
      </c>
      <c r="F648" s="8" t="str">
        <f>"1994-07-20"</f>
        <v>1994-07-20</v>
      </c>
      <c r="G648" s="9"/>
    </row>
    <row r="649" spans="1:7" ht="13.5">
      <c r="A649" s="7">
        <v>647</v>
      </c>
      <c r="B649" s="8" t="str">
        <f>"2341202009082143322172"</f>
        <v>2341202009082143322172</v>
      </c>
      <c r="C649" s="8" t="s">
        <v>8</v>
      </c>
      <c r="D649" s="8" t="str">
        <f>"陈国珠"</f>
        <v>陈国珠</v>
      </c>
      <c r="E649" s="8" t="str">
        <f t="shared" si="24"/>
        <v>女</v>
      </c>
      <c r="F649" s="8" t="str">
        <f>"1991-10-12"</f>
        <v>1991-10-12</v>
      </c>
      <c r="G649" s="9"/>
    </row>
    <row r="650" spans="1:7" ht="13.5">
      <c r="A650" s="7">
        <v>648</v>
      </c>
      <c r="B650" s="8" t="str">
        <f>"2341202009082219072177"</f>
        <v>2341202009082219072177</v>
      </c>
      <c r="C650" s="8" t="s">
        <v>8</v>
      </c>
      <c r="D650" s="8" t="str">
        <f>"陈剑"</f>
        <v>陈剑</v>
      </c>
      <c r="E650" s="8" t="str">
        <f t="shared" si="24"/>
        <v>女</v>
      </c>
      <c r="F650" s="8" t="str">
        <f>"1988-02-20"</f>
        <v>1988-02-20</v>
      </c>
      <c r="G650" s="9"/>
    </row>
    <row r="651" spans="1:7" ht="13.5">
      <c r="A651" s="7">
        <v>649</v>
      </c>
      <c r="B651" s="8" t="str">
        <f>"2341202009082235212181"</f>
        <v>2341202009082235212181</v>
      </c>
      <c r="C651" s="8" t="s">
        <v>8</v>
      </c>
      <c r="D651" s="8" t="str">
        <f>"陈熙文"</f>
        <v>陈熙文</v>
      </c>
      <c r="E651" s="8" t="str">
        <f t="shared" si="24"/>
        <v>女</v>
      </c>
      <c r="F651" s="8" t="str">
        <f>"1997-07-23"</f>
        <v>1997-07-23</v>
      </c>
      <c r="G651" s="9"/>
    </row>
    <row r="652" spans="1:7" ht="13.5">
      <c r="A652" s="7">
        <v>650</v>
      </c>
      <c r="B652" s="8" t="str">
        <f>"2341202009082311482187"</f>
        <v>2341202009082311482187</v>
      </c>
      <c r="C652" s="8" t="s">
        <v>8</v>
      </c>
      <c r="D652" s="8" t="str">
        <f>"苏凤妹"</f>
        <v>苏凤妹</v>
      </c>
      <c r="E652" s="8" t="str">
        <f t="shared" si="24"/>
        <v>女</v>
      </c>
      <c r="F652" s="8" t="str">
        <f>"1996-07-08"</f>
        <v>1996-07-08</v>
      </c>
      <c r="G652" s="9"/>
    </row>
    <row r="653" spans="1:7" ht="13.5">
      <c r="A653" s="7">
        <v>651</v>
      </c>
      <c r="B653" s="8" t="str">
        <f>"2341202009082314372188"</f>
        <v>2341202009082314372188</v>
      </c>
      <c r="C653" s="8" t="s">
        <v>8</v>
      </c>
      <c r="D653" s="8" t="str">
        <f>"吴丽佳"</f>
        <v>吴丽佳</v>
      </c>
      <c r="E653" s="8" t="str">
        <f t="shared" si="24"/>
        <v>女</v>
      </c>
      <c r="F653" s="8" t="str">
        <f>"1995-08-16"</f>
        <v>1995-08-16</v>
      </c>
      <c r="G653" s="9"/>
    </row>
    <row r="654" spans="1:7" ht="13.5">
      <c r="A654" s="7">
        <v>652</v>
      </c>
      <c r="B654" s="8" t="str">
        <f>"2341202009090016512191"</f>
        <v>2341202009090016512191</v>
      </c>
      <c r="C654" s="8" t="s">
        <v>8</v>
      </c>
      <c r="D654" s="8" t="str">
        <f>"莫苏虹"</f>
        <v>莫苏虹</v>
      </c>
      <c r="E654" s="8" t="str">
        <f t="shared" si="24"/>
        <v>女</v>
      </c>
      <c r="F654" s="8" t="str">
        <f>"1992-10-18"</f>
        <v>1992-10-18</v>
      </c>
      <c r="G654" s="9"/>
    </row>
    <row r="655" spans="1:7" ht="13.5">
      <c r="A655" s="7">
        <v>653</v>
      </c>
      <c r="B655" s="8" t="str">
        <f>"2341202009090823122195"</f>
        <v>2341202009090823122195</v>
      </c>
      <c r="C655" s="8" t="s">
        <v>8</v>
      </c>
      <c r="D655" s="8" t="str">
        <f>"叶木青"</f>
        <v>叶木青</v>
      </c>
      <c r="E655" s="8" t="str">
        <f t="shared" si="24"/>
        <v>女</v>
      </c>
      <c r="F655" s="8" t="str">
        <f>"1995-12-21"</f>
        <v>1995-12-21</v>
      </c>
      <c r="G655" s="9"/>
    </row>
    <row r="656" spans="1:7" ht="13.5">
      <c r="A656" s="7">
        <v>654</v>
      </c>
      <c r="B656" s="8" t="str">
        <f>"2341202009090827142197"</f>
        <v>2341202009090827142197</v>
      </c>
      <c r="C656" s="8" t="s">
        <v>8</v>
      </c>
      <c r="D656" s="8" t="str">
        <f>"翟宏柳"</f>
        <v>翟宏柳</v>
      </c>
      <c r="E656" s="8" t="str">
        <f t="shared" si="24"/>
        <v>女</v>
      </c>
      <c r="F656" s="8" t="str">
        <f>"1992-09-17"</f>
        <v>1992-09-17</v>
      </c>
      <c r="G656" s="9"/>
    </row>
    <row r="657" spans="1:7" ht="13.5">
      <c r="A657" s="7">
        <v>655</v>
      </c>
      <c r="B657" s="8" t="str">
        <f>"2341202009090843112200"</f>
        <v>2341202009090843112200</v>
      </c>
      <c r="C657" s="8" t="s">
        <v>8</v>
      </c>
      <c r="D657" s="8" t="str">
        <f>"刘乐曦"</f>
        <v>刘乐曦</v>
      </c>
      <c r="E657" s="8" t="str">
        <f t="shared" si="24"/>
        <v>女</v>
      </c>
      <c r="F657" s="8" t="str">
        <f>"1999-02-19"</f>
        <v>1999-02-19</v>
      </c>
      <c r="G657" s="9"/>
    </row>
    <row r="658" spans="1:7" ht="13.5">
      <c r="A658" s="7">
        <v>656</v>
      </c>
      <c r="B658" s="8" t="str">
        <f>"2341202009090859562202"</f>
        <v>2341202009090859562202</v>
      </c>
      <c r="C658" s="8" t="s">
        <v>8</v>
      </c>
      <c r="D658" s="8" t="str">
        <f>"王奕哲"</f>
        <v>王奕哲</v>
      </c>
      <c r="E658" s="8" t="str">
        <f aca="true" t="shared" si="25" ref="E658:E675">"女"</f>
        <v>女</v>
      </c>
      <c r="F658" s="8" t="str">
        <f>"1996-03-10"</f>
        <v>1996-03-10</v>
      </c>
      <c r="G658" s="9"/>
    </row>
    <row r="659" spans="1:7" ht="13.5">
      <c r="A659" s="7">
        <v>657</v>
      </c>
      <c r="B659" s="8" t="str">
        <f>"2341202009090908512204"</f>
        <v>2341202009090908512204</v>
      </c>
      <c r="C659" s="8" t="s">
        <v>8</v>
      </c>
      <c r="D659" s="8" t="str">
        <f>"王燕娥"</f>
        <v>王燕娥</v>
      </c>
      <c r="E659" s="8" t="str">
        <f t="shared" si="25"/>
        <v>女</v>
      </c>
      <c r="F659" s="8" t="str">
        <f>"1995-11-27"</f>
        <v>1995-11-27</v>
      </c>
      <c r="G659" s="9"/>
    </row>
    <row r="660" spans="1:7" ht="13.5">
      <c r="A660" s="7">
        <v>658</v>
      </c>
      <c r="B660" s="8" t="str">
        <f>"2341202009090920162206"</f>
        <v>2341202009090920162206</v>
      </c>
      <c r="C660" s="8" t="s">
        <v>8</v>
      </c>
      <c r="D660" s="8" t="str">
        <f>"程欣"</f>
        <v>程欣</v>
      </c>
      <c r="E660" s="8" t="str">
        <f t="shared" si="25"/>
        <v>女</v>
      </c>
      <c r="F660" s="8" t="str">
        <f>"1996-06-10"</f>
        <v>1996-06-10</v>
      </c>
      <c r="G660" s="9"/>
    </row>
    <row r="661" spans="1:7" ht="13.5">
      <c r="A661" s="7">
        <v>659</v>
      </c>
      <c r="B661" s="8" t="str">
        <f>"2341202009090922262209"</f>
        <v>2341202009090922262209</v>
      </c>
      <c r="C661" s="8" t="s">
        <v>8</v>
      </c>
      <c r="D661" s="8" t="str">
        <f>"蔡文秀"</f>
        <v>蔡文秀</v>
      </c>
      <c r="E661" s="8" t="str">
        <f t="shared" si="25"/>
        <v>女</v>
      </c>
      <c r="F661" s="8" t="str">
        <f>"1996-07-06"</f>
        <v>1996-07-06</v>
      </c>
      <c r="G661" s="9"/>
    </row>
    <row r="662" spans="1:7" ht="13.5">
      <c r="A662" s="7">
        <v>660</v>
      </c>
      <c r="B662" s="8" t="str">
        <f>"2341202009090928382210"</f>
        <v>2341202009090928382210</v>
      </c>
      <c r="C662" s="8" t="s">
        <v>8</v>
      </c>
      <c r="D662" s="8" t="str">
        <f>"周姝彤"</f>
        <v>周姝彤</v>
      </c>
      <c r="E662" s="8" t="str">
        <f t="shared" si="25"/>
        <v>女</v>
      </c>
      <c r="F662" s="8" t="str">
        <f>"1994-05-01"</f>
        <v>1994-05-01</v>
      </c>
      <c r="G662" s="9"/>
    </row>
    <row r="663" spans="1:7" ht="13.5">
      <c r="A663" s="7">
        <v>661</v>
      </c>
      <c r="B663" s="8" t="str">
        <f>"2341202009091023422227"</f>
        <v>2341202009091023422227</v>
      </c>
      <c r="C663" s="8" t="s">
        <v>8</v>
      </c>
      <c r="D663" s="8" t="str">
        <f>"倪靓"</f>
        <v>倪靓</v>
      </c>
      <c r="E663" s="8" t="str">
        <f t="shared" si="25"/>
        <v>女</v>
      </c>
      <c r="F663" s="8" t="str">
        <f>"1996-01-10"</f>
        <v>1996-01-10</v>
      </c>
      <c r="G663" s="9"/>
    </row>
    <row r="664" spans="1:7" ht="13.5">
      <c r="A664" s="7">
        <v>662</v>
      </c>
      <c r="B664" s="8" t="str">
        <f>"2341202009091054452235"</f>
        <v>2341202009091054452235</v>
      </c>
      <c r="C664" s="8" t="s">
        <v>8</v>
      </c>
      <c r="D664" s="8" t="str">
        <f>"秦青"</f>
        <v>秦青</v>
      </c>
      <c r="E664" s="8" t="str">
        <f t="shared" si="25"/>
        <v>女</v>
      </c>
      <c r="F664" s="8" t="str">
        <f>"1986-04-27"</f>
        <v>1986-04-27</v>
      </c>
      <c r="G664" s="9"/>
    </row>
    <row r="665" spans="1:7" ht="13.5">
      <c r="A665" s="7">
        <v>663</v>
      </c>
      <c r="B665" s="8" t="str">
        <f>"2341202009091243432247"</f>
        <v>2341202009091243432247</v>
      </c>
      <c r="C665" s="8" t="s">
        <v>8</v>
      </c>
      <c r="D665" s="8" t="str">
        <f>"钱嘉琪"</f>
        <v>钱嘉琪</v>
      </c>
      <c r="E665" s="8" t="str">
        <f t="shared" si="25"/>
        <v>女</v>
      </c>
      <c r="F665" s="8" t="str">
        <f>"1996-10-16"</f>
        <v>1996-10-16</v>
      </c>
      <c r="G665" s="9"/>
    </row>
    <row r="666" spans="1:7" ht="13.5">
      <c r="A666" s="7">
        <v>664</v>
      </c>
      <c r="B666" s="8" t="str">
        <f>"2341202009091254502249"</f>
        <v>2341202009091254502249</v>
      </c>
      <c r="C666" s="8" t="s">
        <v>8</v>
      </c>
      <c r="D666" s="8" t="str">
        <f>"梁春苑"</f>
        <v>梁春苑</v>
      </c>
      <c r="E666" s="8" t="str">
        <f t="shared" si="25"/>
        <v>女</v>
      </c>
      <c r="F666" s="8" t="str">
        <f>"1994-02-16"</f>
        <v>1994-02-16</v>
      </c>
      <c r="G666" s="9"/>
    </row>
    <row r="667" spans="1:7" ht="13.5">
      <c r="A667" s="7">
        <v>665</v>
      </c>
      <c r="B667" s="8" t="str">
        <f>"2341202009091315262253"</f>
        <v>2341202009091315262253</v>
      </c>
      <c r="C667" s="8" t="s">
        <v>8</v>
      </c>
      <c r="D667" s="8" t="str">
        <f>"李廷欢"</f>
        <v>李廷欢</v>
      </c>
      <c r="E667" s="8" t="str">
        <f t="shared" si="25"/>
        <v>女</v>
      </c>
      <c r="F667" s="8" t="str">
        <f>"1998-01-16"</f>
        <v>1998-01-16</v>
      </c>
      <c r="G667" s="9"/>
    </row>
    <row r="668" spans="1:7" ht="13.5">
      <c r="A668" s="7">
        <v>666</v>
      </c>
      <c r="B668" s="8" t="str">
        <f>"2341202009091318092255"</f>
        <v>2341202009091318092255</v>
      </c>
      <c r="C668" s="8" t="s">
        <v>8</v>
      </c>
      <c r="D668" s="8" t="str">
        <f>"吴尚徽"</f>
        <v>吴尚徽</v>
      </c>
      <c r="E668" s="8" t="str">
        <f t="shared" si="25"/>
        <v>女</v>
      </c>
      <c r="F668" s="8" t="str">
        <f>"1996-08-06"</f>
        <v>1996-08-06</v>
      </c>
      <c r="G668" s="9"/>
    </row>
    <row r="669" spans="1:7" ht="13.5">
      <c r="A669" s="7">
        <v>667</v>
      </c>
      <c r="B669" s="8" t="str">
        <f>"2341202009091318542256"</f>
        <v>2341202009091318542256</v>
      </c>
      <c r="C669" s="8" t="s">
        <v>8</v>
      </c>
      <c r="D669" s="8" t="str">
        <f>"冯清梅"</f>
        <v>冯清梅</v>
      </c>
      <c r="E669" s="8" t="str">
        <f t="shared" si="25"/>
        <v>女</v>
      </c>
      <c r="F669" s="8" t="str">
        <f>"1996-05-20"</f>
        <v>1996-05-20</v>
      </c>
      <c r="G669" s="9"/>
    </row>
    <row r="670" spans="1:7" ht="13.5">
      <c r="A670" s="7">
        <v>668</v>
      </c>
      <c r="B670" s="8" t="str">
        <f>"2341202009091441402262"</f>
        <v>2341202009091441402262</v>
      </c>
      <c r="C670" s="8" t="s">
        <v>8</v>
      </c>
      <c r="D670" s="8" t="str">
        <f>"林德焱"</f>
        <v>林德焱</v>
      </c>
      <c r="E670" s="8" t="str">
        <f t="shared" si="25"/>
        <v>女</v>
      </c>
      <c r="F670" s="8" t="str">
        <f>"1995-03-16"</f>
        <v>1995-03-16</v>
      </c>
      <c r="G670" s="9"/>
    </row>
    <row r="671" spans="1:7" ht="13.5">
      <c r="A671" s="7">
        <v>669</v>
      </c>
      <c r="B671" s="8" t="str">
        <f>"2341202009091445352263"</f>
        <v>2341202009091445352263</v>
      </c>
      <c r="C671" s="8" t="s">
        <v>8</v>
      </c>
      <c r="D671" s="8" t="str">
        <f>"罗成妹"</f>
        <v>罗成妹</v>
      </c>
      <c r="E671" s="8" t="str">
        <f t="shared" si="25"/>
        <v>女</v>
      </c>
      <c r="F671" s="8" t="str">
        <f>"1987-11-30"</f>
        <v>1987-11-30</v>
      </c>
      <c r="G671" s="9"/>
    </row>
    <row r="672" spans="1:7" ht="13.5">
      <c r="A672" s="7">
        <v>670</v>
      </c>
      <c r="B672" s="8" t="str">
        <f>"2341202009091507412266"</f>
        <v>2341202009091507412266</v>
      </c>
      <c r="C672" s="8" t="s">
        <v>8</v>
      </c>
      <c r="D672" s="8" t="str">
        <f>"覃秋月"</f>
        <v>覃秋月</v>
      </c>
      <c r="E672" s="8" t="str">
        <f t="shared" si="25"/>
        <v>女</v>
      </c>
      <c r="F672" s="8" t="str">
        <f>"1995-07-31"</f>
        <v>1995-07-31</v>
      </c>
      <c r="G672" s="9"/>
    </row>
    <row r="673" spans="1:7" ht="13.5">
      <c r="A673" s="7">
        <v>671</v>
      </c>
      <c r="B673" s="8" t="str">
        <f>"2341202009091523092267"</f>
        <v>2341202009091523092267</v>
      </c>
      <c r="C673" s="8" t="s">
        <v>8</v>
      </c>
      <c r="D673" s="8" t="str">
        <f>"陈雨欣"</f>
        <v>陈雨欣</v>
      </c>
      <c r="E673" s="8" t="str">
        <f t="shared" si="25"/>
        <v>女</v>
      </c>
      <c r="F673" s="8" t="str">
        <f>"1997-06-22"</f>
        <v>1997-06-22</v>
      </c>
      <c r="G673" s="9"/>
    </row>
    <row r="674" spans="1:7" ht="13.5">
      <c r="A674" s="7">
        <v>672</v>
      </c>
      <c r="B674" s="8" t="str">
        <f>"2341202009091526442268"</f>
        <v>2341202009091526442268</v>
      </c>
      <c r="C674" s="8" t="s">
        <v>8</v>
      </c>
      <c r="D674" s="8" t="str">
        <f>"林丰华"</f>
        <v>林丰华</v>
      </c>
      <c r="E674" s="8" t="str">
        <f t="shared" si="25"/>
        <v>女</v>
      </c>
      <c r="F674" s="8" t="str">
        <f>"1995-10-13"</f>
        <v>1995-10-13</v>
      </c>
      <c r="G674" s="9"/>
    </row>
    <row r="675" spans="1:7" ht="13.5">
      <c r="A675" s="7">
        <v>673</v>
      </c>
      <c r="B675" s="8" t="str">
        <f>"2341202009091538202271"</f>
        <v>2341202009091538202271</v>
      </c>
      <c r="C675" s="8" t="s">
        <v>8</v>
      </c>
      <c r="D675" s="8" t="str">
        <f>"冯珊珊"</f>
        <v>冯珊珊</v>
      </c>
      <c r="E675" s="8" t="str">
        <f t="shared" si="25"/>
        <v>女</v>
      </c>
      <c r="F675" s="8" t="str">
        <f>"1994-08-14"</f>
        <v>1994-08-14</v>
      </c>
      <c r="G675" s="9"/>
    </row>
    <row r="676" spans="1:7" ht="13.5">
      <c r="A676" s="7">
        <v>674</v>
      </c>
      <c r="B676" s="8" t="str">
        <f>"2341202009091546422272"</f>
        <v>2341202009091546422272</v>
      </c>
      <c r="C676" s="8" t="s">
        <v>8</v>
      </c>
      <c r="D676" s="8" t="str">
        <f>"莫照印"</f>
        <v>莫照印</v>
      </c>
      <c r="E676" s="8" t="str">
        <f>"男"</f>
        <v>男</v>
      </c>
      <c r="F676" s="8" t="str">
        <f>"1985-06-04"</f>
        <v>1985-06-04</v>
      </c>
      <c r="G676" s="9"/>
    </row>
    <row r="677" spans="1:7" ht="13.5">
      <c r="A677" s="7">
        <v>675</v>
      </c>
      <c r="B677" s="8" t="str">
        <f>"2341202009091653502281"</f>
        <v>2341202009091653502281</v>
      </c>
      <c r="C677" s="8" t="s">
        <v>8</v>
      </c>
      <c r="D677" s="8" t="str">
        <f>"林静"</f>
        <v>林静</v>
      </c>
      <c r="E677" s="8" t="str">
        <f aca="true" t="shared" si="26" ref="E677:E708">"女"</f>
        <v>女</v>
      </c>
      <c r="F677" s="8" t="str">
        <f>"1989-11-08"</f>
        <v>1989-11-08</v>
      </c>
      <c r="G677" s="9"/>
    </row>
    <row r="678" spans="1:7" ht="13.5">
      <c r="A678" s="7">
        <v>676</v>
      </c>
      <c r="B678" s="8" t="str">
        <f>"2341202009091654572282"</f>
        <v>2341202009091654572282</v>
      </c>
      <c r="C678" s="8" t="s">
        <v>8</v>
      </c>
      <c r="D678" s="8" t="str">
        <f>"高圆圆"</f>
        <v>高圆圆</v>
      </c>
      <c r="E678" s="8" t="str">
        <f t="shared" si="26"/>
        <v>女</v>
      </c>
      <c r="F678" s="8" t="str">
        <f>"1998-12-06"</f>
        <v>1998-12-06</v>
      </c>
      <c r="G678" s="9"/>
    </row>
    <row r="679" spans="1:7" ht="13.5">
      <c r="A679" s="7">
        <v>677</v>
      </c>
      <c r="B679" s="8" t="str">
        <f>"2341202009091713212283"</f>
        <v>2341202009091713212283</v>
      </c>
      <c r="C679" s="8" t="s">
        <v>8</v>
      </c>
      <c r="D679" s="8" t="str">
        <f>"王小慧"</f>
        <v>王小慧</v>
      </c>
      <c r="E679" s="8" t="str">
        <f t="shared" si="26"/>
        <v>女</v>
      </c>
      <c r="F679" s="8" t="str">
        <f>"1990-08-06"</f>
        <v>1990-08-06</v>
      </c>
      <c r="G679" s="9"/>
    </row>
    <row r="680" spans="1:7" ht="13.5">
      <c r="A680" s="7">
        <v>678</v>
      </c>
      <c r="B680" s="8" t="str">
        <f>"2341202009091720252284"</f>
        <v>2341202009091720252284</v>
      </c>
      <c r="C680" s="8" t="s">
        <v>8</v>
      </c>
      <c r="D680" s="8" t="str">
        <f>"杨晨"</f>
        <v>杨晨</v>
      </c>
      <c r="E680" s="8" t="str">
        <f t="shared" si="26"/>
        <v>女</v>
      </c>
      <c r="F680" s="8" t="str">
        <f>"1993-12-20"</f>
        <v>1993-12-20</v>
      </c>
      <c r="G680" s="9"/>
    </row>
    <row r="681" spans="1:7" ht="13.5">
      <c r="A681" s="7">
        <v>679</v>
      </c>
      <c r="B681" s="8" t="str">
        <f>"2341202009091743332290"</f>
        <v>2341202009091743332290</v>
      </c>
      <c r="C681" s="8" t="s">
        <v>8</v>
      </c>
      <c r="D681" s="8" t="str">
        <f>"张月萍"</f>
        <v>张月萍</v>
      </c>
      <c r="E681" s="8" t="str">
        <f t="shared" si="26"/>
        <v>女</v>
      </c>
      <c r="F681" s="8" t="str">
        <f>"1996-09-26"</f>
        <v>1996-09-26</v>
      </c>
      <c r="G681" s="9"/>
    </row>
    <row r="682" spans="1:7" ht="13.5">
      <c r="A682" s="7">
        <v>680</v>
      </c>
      <c r="B682" s="8" t="str">
        <f>"2341202009091744202291"</f>
        <v>2341202009091744202291</v>
      </c>
      <c r="C682" s="8" t="s">
        <v>8</v>
      </c>
      <c r="D682" s="8" t="str">
        <f>"梁珍榕"</f>
        <v>梁珍榕</v>
      </c>
      <c r="E682" s="8" t="str">
        <f t="shared" si="26"/>
        <v>女</v>
      </c>
      <c r="F682" s="8" t="str">
        <f>"1993-11-21"</f>
        <v>1993-11-21</v>
      </c>
      <c r="G682" s="9"/>
    </row>
    <row r="683" spans="1:7" ht="13.5">
      <c r="A683" s="7">
        <v>681</v>
      </c>
      <c r="B683" s="8" t="str">
        <f>"2341202009091747032293"</f>
        <v>2341202009091747032293</v>
      </c>
      <c r="C683" s="8" t="s">
        <v>8</v>
      </c>
      <c r="D683" s="8" t="str">
        <f>"陈李妹"</f>
        <v>陈李妹</v>
      </c>
      <c r="E683" s="8" t="str">
        <f t="shared" si="26"/>
        <v>女</v>
      </c>
      <c r="F683" s="8" t="str">
        <f>"1988-07-19"</f>
        <v>1988-07-19</v>
      </c>
      <c r="G683" s="9"/>
    </row>
    <row r="684" spans="1:7" ht="13.5">
      <c r="A684" s="7">
        <v>682</v>
      </c>
      <c r="B684" s="8" t="str">
        <f>"2341202009091757232297"</f>
        <v>2341202009091757232297</v>
      </c>
      <c r="C684" s="8" t="s">
        <v>8</v>
      </c>
      <c r="D684" s="8" t="str">
        <f>"符有妹"</f>
        <v>符有妹</v>
      </c>
      <c r="E684" s="8" t="str">
        <f t="shared" si="26"/>
        <v>女</v>
      </c>
      <c r="F684" s="8" t="str">
        <f>"1993-01-05"</f>
        <v>1993-01-05</v>
      </c>
      <c r="G684" s="9"/>
    </row>
    <row r="685" spans="1:7" ht="13.5">
      <c r="A685" s="7">
        <v>683</v>
      </c>
      <c r="B685" s="8" t="str">
        <f>"2341202009091847362302"</f>
        <v>2341202009091847362302</v>
      </c>
      <c r="C685" s="8" t="s">
        <v>8</v>
      </c>
      <c r="D685" s="8" t="str">
        <f>"符朝霜"</f>
        <v>符朝霜</v>
      </c>
      <c r="E685" s="8" t="str">
        <f t="shared" si="26"/>
        <v>女</v>
      </c>
      <c r="F685" s="8" t="str">
        <f>"1992-08-08"</f>
        <v>1992-08-08</v>
      </c>
      <c r="G685" s="9"/>
    </row>
    <row r="686" spans="1:7" ht="13.5">
      <c r="A686" s="7">
        <v>684</v>
      </c>
      <c r="B686" s="8" t="str">
        <f>"2341202009091936002306"</f>
        <v>2341202009091936002306</v>
      </c>
      <c r="C686" s="8" t="s">
        <v>8</v>
      </c>
      <c r="D686" s="8" t="str">
        <f>"李知洋"</f>
        <v>李知洋</v>
      </c>
      <c r="E686" s="8" t="str">
        <f t="shared" si="26"/>
        <v>女</v>
      </c>
      <c r="F686" s="8" t="str">
        <f>"1997-04-30"</f>
        <v>1997-04-30</v>
      </c>
      <c r="G686" s="9"/>
    </row>
    <row r="687" spans="1:7" ht="13.5">
      <c r="A687" s="7">
        <v>685</v>
      </c>
      <c r="B687" s="8" t="str">
        <f>"2341202009092022452312"</f>
        <v>2341202009092022452312</v>
      </c>
      <c r="C687" s="8" t="s">
        <v>8</v>
      </c>
      <c r="D687" s="8" t="str">
        <f>"陈颖"</f>
        <v>陈颖</v>
      </c>
      <c r="E687" s="8" t="str">
        <f t="shared" si="26"/>
        <v>女</v>
      </c>
      <c r="F687" s="8" t="str">
        <f>"1990-09-01"</f>
        <v>1990-09-01</v>
      </c>
      <c r="G687" s="9"/>
    </row>
    <row r="688" spans="1:7" ht="13.5">
      <c r="A688" s="7">
        <v>686</v>
      </c>
      <c r="B688" s="8" t="str">
        <f>"2341202009092052372317"</f>
        <v>2341202009092052372317</v>
      </c>
      <c r="C688" s="8" t="s">
        <v>8</v>
      </c>
      <c r="D688" s="8" t="str">
        <f>"吴珍莲"</f>
        <v>吴珍莲</v>
      </c>
      <c r="E688" s="8" t="str">
        <f t="shared" si="26"/>
        <v>女</v>
      </c>
      <c r="F688" s="8" t="str">
        <f>"1996-03-23"</f>
        <v>1996-03-23</v>
      </c>
      <c r="G688" s="9"/>
    </row>
    <row r="689" spans="1:7" ht="13.5">
      <c r="A689" s="7">
        <v>687</v>
      </c>
      <c r="B689" s="8" t="str">
        <f>"2341202009092053242318"</f>
        <v>2341202009092053242318</v>
      </c>
      <c r="C689" s="8" t="s">
        <v>8</v>
      </c>
      <c r="D689" s="8" t="str">
        <f>"王琼利"</f>
        <v>王琼利</v>
      </c>
      <c r="E689" s="8" t="str">
        <f t="shared" si="26"/>
        <v>女</v>
      </c>
      <c r="F689" s="8" t="str">
        <f>"1994-02-20"</f>
        <v>1994-02-20</v>
      </c>
      <c r="G689" s="9"/>
    </row>
    <row r="690" spans="1:7" ht="13.5">
      <c r="A690" s="7">
        <v>688</v>
      </c>
      <c r="B690" s="8" t="str">
        <f>"2341202009092139312321"</f>
        <v>2341202009092139312321</v>
      </c>
      <c r="C690" s="8" t="s">
        <v>8</v>
      </c>
      <c r="D690" s="8" t="str">
        <f>"林菲"</f>
        <v>林菲</v>
      </c>
      <c r="E690" s="8" t="str">
        <f t="shared" si="26"/>
        <v>女</v>
      </c>
      <c r="F690" s="8" t="str">
        <f>"1994-08-10"</f>
        <v>1994-08-10</v>
      </c>
      <c r="G690" s="9"/>
    </row>
    <row r="691" spans="1:7" ht="13.5">
      <c r="A691" s="7">
        <v>689</v>
      </c>
      <c r="B691" s="8" t="str">
        <f>"2341202009092144032325"</f>
        <v>2341202009092144032325</v>
      </c>
      <c r="C691" s="8" t="s">
        <v>8</v>
      </c>
      <c r="D691" s="8" t="str">
        <f>"苏吉倩"</f>
        <v>苏吉倩</v>
      </c>
      <c r="E691" s="8" t="str">
        <f t="shared" si="26"/>
        <v>女</v>
      </c>
      <c r="F691" s="8" t="str">
        <f>"1988-07-08"</f>
        <v>1988-07-08</v>
      </c>
      <c r="G691" s="9"/>
    </row>
    <row r="692" spans="1:7" ht="13.5">
      <c r="A692" s="7">
        <v>690</v>
      </c>
      <c r="B692" s="8" t="str">
        <f>"2341202009092326082337"</f>
        <v>2341202009092326082337</v>
      </c>
      <c r="C692" s="8" t="s">
        <v>8</v>
      </c>
      <c r="D692" s="8" t="str">
        <f>"何有娣"</f>
        <v>何有娣</v>
      </c>
      <c r="E692" s="8" t="str">
        <f t="shared" si="26"/>
        <v>女</v>
      </c>
      <c r="F692" s="8" t="str">
        <f>"1991-10-17"</f>
        <v>1991-10-17</v>
      </c>
      <c r="G692" s="9"/>
    </row>
    <row r="693" spans="1:7" ht="13.5">
      <c r="A693" s="7">
        <v>691</v>
      </c>
      <c r="B693" s="8" t="str">
        <f>"2341202009100724292341"</f>
        <v>2341202009100724292341</v>
      </c>
      <c r="C693" s="8" t="s">
        <v>8</v>
      </c>
      <c r="D693" s="8" t="str">
        <f>"张卜凡"</f>
        <v>张卜凡</v>
      </c>
      <c r="E693" s="8" t="str">
        <f t="shared" si="26"/>
        <v>女</v>
      </c>
      <c r="F693" s="8" t="str">
        <f>"1996-08-21"</f>
        <v>1996-08-21</v>
      </c>
      <c r="G693" s="9"/>
    </row>
    <row r="694" spans="1:7" ht="13.5">
      <c r="A694" s="7">
        <v>692</v>
      </c>
      <c r="B694" s="8" t="str">
        <f>"2341202009100800462343"</f>
        <v>2341202009100800462343</v>
      </c>
      <c r="C694" s="8" t="s">
        <v>8</v>
      </c>
      <c r="D694" s="8" t="str">
        <f>"王芯颖"</f>
        <v>王芯颖</v>
      </c>
      <c r="E694" s="8" t="str">
        <f t="shared" si="26"/>
        <v>女</v>
      </c>
      <c r="F694" s="8" t="str">
        <f>"1994-10-14"</f>
        <v>1994-10-14</v>
      </c>
      <c r="G694" s="9"/>
    </row>
    <row r="695" spans="1:7" ht="13.5">
      <c r="A695" s="7">
        <v>693</v>
      </c>
      <c r="B695" s="8" t="str">
        <f>"2341202009100916152350"</f>
        <v>2341202009100916152350</v>
      </c>
      <c r="C695" s="8" t="s">
        <v>8</v>
      </c>
      <c r="D695" s="8" t="str">
        <f>"杨少玲"</f>
        <v>杨少玲</v>
      </c>
      <c r="E695" s="8" t="str">
        <f t="shared" si="26"/>
        <v>女</v>
      </c>
      <c r="F695" s="8" t="str">
        <f>"1988-03-05"</f>
        <v>1988-03-05</v>
      </c>
      <c r="G695" s="9"/>
    </row>
    <row r="696" spans="1:7" ht="13.5">
      <c r="A696" s="7">
        <v>694</v>
      </c>
      <c r="B696" s="8" t="str">
        <f>"2341202009100925002351"</f>
        <v>2341202009100925002351</v>
      </c>
      <c r="C696" s="8" t="s">
        <v>8</v>
      </c>
      <c r="D696" s="8" t="str">
        <f>"陈娇凤"</f>
        <v>陈娇凤</v>
      </c>
      <c r="E696" s="8" t="str">
        <f t="shared" si="26"/>
        <v>女</v>
      </c>
      <c r="F696" s="8" t="str">
        <f>"1993-02-28"</f>
        <v>1993-02-28</v>
      </c>
      <c r="G696" s="9"/>
    </row>
    <row r="697" spans="1:7" ht="13.5">
      <c r="A697" s="7">
        <v>695</v>
      </c>
      <c r="B697" s="8" t="str">
        <f>"2341202009100939142355"</f>
        <v>2341202009100939142355</v>
      </c>
      <c r="C697" s="8" t="s">
        <v>8</v>
      </c>
      <c r="D697" s="8" t="str">
        <f>"陈慧"</f>
        <v>陈慧</v>
      </c>
      <c r="E697" s="8" t="str">
        <f t="shared" si="26"/>
        <v>女</v>
      </c>
      <c r="F697" s="8" t="str">
        <f>"1994-01-13"</f>
        <v>1994-01-13</v>
      </c>
      <c r="G697" s="9"/>
    </row>
    <row r="698" spans="1:7" ht="13.5">
      <c r="A698" s="7">
        <v>696</v>
      </c>
      <c r="B698" s="8" t="str">
        <f>"2341202009100951372356"</f>
        <v>2341202009100951372356</v>
      </c>
      <c r="C698" s="8" t="s">
        <v>8</v>
      </c>
      <c r="D698" s="8" t="str">
        <f>"李彩虹"</f>
        <v>李彩虹</v>
      </c>
      <c r="E698" s="8" t="str">
        <f t="shared" si="26"/>
        <v>女</v>
      </c>
      <c r="F698" s="8" t="str">
        <f>"1988-04-16"</f>
        <v>1988-04-16</v>
      </c>
      <c r="G698" s="9"/>
    </row>
    <row r="699" spans="1:7" ht="13.5">
      <c r="A699" s="7">
        <v>697</v>
      </c>
      <c r="B699" s="8" t="str">
        <f>"2341202009100957532357"</f>
        <v>2341202009100957532357</v>
      </c>
      <c r="C699" s="8" t="s">
        <v>8</v>
      </c>
      <c r="D699" s="8" t="str">
        <f>"李昕"</f>
        <v>李昕</v>
      </c>
      <c r="E699" s="8" t="str">
        <f t="shared" si="26"/>
        <v>女</v>
      </c>
      <c r="F699" s="8" t="str">
        <f>"1994-07-30"</f>
        <v>1994-07-30</v>
      </c>
      <c r="G699" s="9"/>
    </row>
    <row r="700" spans="1:7" ht="13.5">
      <c r="A700" s="7">
        <v>698</v>
      </c>
      <c r="B700" s="8" t="str">
        <f>"2341202009100958122358"</f>
        <v>2341202009100958122358</v>
      </c>
      <c r="C700" s="8" t="s">
        <v>8</v>
      </c>
      <c r="D700" s="8" t="str">
        <f>"彭卫娟"</f>
        <v>彭卫娟</v>
      </c>
      <c r="E700" s="8" t="str">
        <f t="shared" si="26"/>
        <v>女</v>
      </c>
      <c r="F700" s="8" t="str">
        <f>"1996-07-14"</f>
        <v>1996-07-14</v>
      </c>
      <c r="G700" s="9"/>
    </row>
    <row r="701" spans="1:7" ht="13.5">
      <c r="A701" s="7">
        <v>699</v>
      </c>
      <c r="B701" s="8" t="str">
        <f>"2341202009100958282359"</f>
        <v>2341202009100958282359</v>
      </c>
      <c r="C701" s="8" t="s">
        <v>8</v>
      </c>
      <c r="D701" s="8" t="str">
        <f>"王怡"</f>
        <v>王怡</v>
      </c>
      <c r="E701" s="8" t="str">
        <f t="shared" si="26"/>
        <v>女</v>
      </c>
      <c r="F701" s="8" t="str">
        <f>"1996-07-28"</f>
        <v>1996-07-28</v>
      </c>
      <c r="G701" s="9"/>
    </row>
    <row r="702" spans="1:7" ht="13.5">
      <c r="A702" s="7">
        <v>700</v>
      </c>
      <c r="B702" s="8" t="str">
        <f>"2341202009101001562362"</f>
        <v>2341202009101001562362</v>
      </c>
      <c r="C702" s="8" t="s">
        <v>8</v>
      </c>
      <c r="D702" s="8" t="str">
        <f>"何萃婷"</f>
        <v>何萃婷</v>
      </c>
      <c r="E702" s="8" t="str">
        <f t="shared" si="26"/>
        <v>女</v>
      </c>
      <c r="F702" s="8" t="str">
        <f>"1997-07-12"</f>
        <v>1997-07-12</v>
      </c>
      <c r="G702" s="9"/>
    </row>
    <row r="703" spans="1:7" ht="13.5">
      <c r="A703" s="7">
        <v>701</v>
      </c>
      <c r="B703" s="8" t="str">
        <f>"2341202009101010072364"</f>
        <v>2341202009101010072364</v>
      </c>
      <c r="C703" s="8" t="s">
        <v>8</v>
      </c>
      <c r="D703" s="8" t="str">
        <f>"毛冬梅"</f>
        <v>毛冬梅</v>
      </c>
      <c r="E703" s="8" t="str">
        <f t="shared" si="26"/>
        <v>女</v>
      </c>
      <c r="F703" s="8" t="str">
        <f>"1997-10-19"</f>
        <v>1997-10-19</v>
      </c>
      <c r="G703" s="9"/>
    </row>
    <row r="704" spans="1:7" ht="13.5">
      <c r="A704" s="7">
        <v>702</v>
      </c>
      <c r="B704" s="8" t="str">
        <f>"2341202009101045132370"</f>
        <v>2341202009101045132370</v>
      </c>
      <c r="C704" s="8" t="s">
        <v>8</v>
      </c>
      <c r="D704" s="8" t="str">
        <f>"邓荣"</f>
        <v>邓荣</v>
      </c>
      <c r="E704" s="8" t="str">
        <f t="shared" si="26"/>
        <v>女</v>
      </c>
      <c r="F704" s="8" t="str">
        <f>"1996-09-08"</f>
        <v>1996-09-08</v>
      </c>
      <c r="G704" s="9"/>
    </row>
    <row r="705" spans="1:7" ht="13.5">
      <c r="A705" s="7">
        <v>703</v>
      </c>
      <c r="B705" s="8" t="str">
        <f>"2341202009101056492372"</f>
        <v>2341202009101056492372</v>
      </c>
      <c r="C705" s="8" t="s">
        <v>8</v>
      </c>
      <c r="D705" s="8" t="str">
        <f>"方燕燕"</f>
        <v>方燕燕</v>
      </c>
      <c r="E705" s="8" t="str">
        <f t="shared" si="26"/>
        <v>女</v>
      </c>
      <c r="F705" s="8" t="str">
        <f>"1991-04-26"</f>
        <v>1991-04-26</v>
      </c>
      <c r="G705" s="9"/>
    </row>
    <row r="706" spans="1:7" ht="13.5">
      <c r="A706" s="7">
        <v>704</v>
      </c>
      <c r="B706" s="8" t="str">
        <f>"2341202009101314572386"</f>
        <v>2341202009101314572386</v>
      </c>
      <c r="C706" s="8" t="s">
        <v>8</v>
      </c>
      <c r="D706" s="8" t="str">
        <f>"董晶"</f>
        <v>董晶</v>
      </c>
      <c r="E706" s="8" t="str">
        <f t="shared" si="26"/>
        <v>女</v>
      </c>
      <c r="F706" s="8" t="str">
        <f>"1993-01-05"</f>
        <v>1993-01-05</v>
      </c>
      <c r="G706" s="9"/>
    </row>
    <row r="707" spans="1:7" ht="13.5">
      <c r="A707" s="7">
        <v>705</v>
      </c>
      <c r="B707" s="8" t="str">
        <f>"2341202009101407292389"</f>
        <v>2341202009101407292389</v>
      </c>
      <c r="C707" s="8" t="s">
        <v>8</v>
      </c>
      <c r="D707" s="8" t="str">
        <f>"陈海珍"</f>
        <v>陈海珍</v>
      </c>
      <c r="E707" s="8" t="str">
        <f t="shared" si="26"/>
        <v>女</v>
      </c>
      <c r="F707" s="8" t="str">
        <f>"1995-05-22"</f>
        <v>1995-05-22</v>
      </c>
      <c r="G707" s="9"/>
    </row>
    <row r="708" spans="1:7" ht="13.5">
      <c r="A708" s="7">
        <v>706</v>
      </c>
      <c r="B708" s="8" t="str">
        <f>"2341202009101500082394"</f>
        <v>2341202009101500082394</v>
      </c>
      <c r="C708" s="8" t="s">
        <v>8</v>
      </c>
      <c r="D708" s="8" t="str">
        <f>"吴剑花"</f>
        <v>吴剑花</v>
      </c>
      <c r="E708" s="8" t="str">
        <f t="shared" si="26"/>
        <v>女</v>
      </c>
      <c r="F708" s="8" t="str">
        <f>"1998-02-21"</f>
        <v>1998-02-21</v>
      </c>
      <c r="G708" s="9"/>
    </row>
    <row r="709" spans="1:7" ht="13.5">
      <c r="A709" s="7">
        <v>707</v>
      </c>
      <c r="B709" s="8" t="str">
        <f>"2341202009101537112398"</f>
        <v>2341202009101537112398</v>
      </c>
      <c r="C709" s="8" t="s">
        <v>8</v>
      </c>
      <c r="D709" s="8" t="str">
        <f>"赵元祺"</f>
        <v>赵元祺</v>
      </c>
      <c r="E709" s="8" t="str">
        <f aca="true" t="shared" si="27" ref="E709:E740">"女"</f>
        <v>女</v>
      </c>
      <c r="F709" s="8" t="str">
        <f>"1996-01-09"</f>
        <v>1996-01-09</v>
      </c>
      <c r="G709" s="9"/>
    </row>
    <row r="710" spans="1:7" ht="13.5">
      <c r="A710" s="7">
        <v>708</v>
      </c>
      <c r="B710" s="8" t="str">
        <f>"2341202009101550442401"</f>
        <v>2341202009101550442401</v>
      </c>
      <c r="C710" s="8" t="s">
        <v>8</v>
      </c>
      <c r="D710" s="8" t="str">
        <f>"黎述翠"</f>
        <v>黎述翠</v>
      </c>
      <c r="E710" s="8" t="str">
        <f t="shared" si="27"/>
        <v>女</v>
      </c>
      <c r="F710" s="8" t="str">
        <f>"1990-01-11"</f>
        <v>1990-01-11</v>
      </c>
      <c r="G710" s="9"/>
    </row>
    <row r="711" spans="1:7" ht="13.5">
      <c r="A711" s="7">
        <v>709</v>
      </c>
      <c r="B711" s="8" t="str">
        <f>"2341202009101606042403"</f>
        <v>2341202009101606042403</v>
      </c>
      <c r="C711" s="8" t="s">
        <v>8</v>
      </c>
      <c r="D711" s="8" t="str">
        <f>"陈静"</f>
        <v>陈静</v>
      </c>
      <c r="E711" s="8" t="str">
        <f t="shared" si="27"/>
        <v>女</v>
      </c>
      <c r="F711" s="8" t="str">
        <f>"1998-02-13"</f>
        <v>1998-02-13</v>
      </c>
      <c r="G711" s="9"/>
    </row>
    <row r="712" spans="1:7" ht="13.5">
      <c r="A712" s="7">
        <v>710</v>
      </c>
      <c r="B712" s="8" t="str">
        <f>"2341202009101606492404"</f>
        <v>2341202009101606492404</v>
      </c>
      <c r="C712" s="8" t="s">
        <v>8</v>
      </c>
      <c r="D712" s="8" t="str">
        <f>"钟小静"</f>
        <v>钟小静</v>
      </c>
      <c r="E712" s="8" t="str">
        <f t="shared" si="27"/>
        <v>女</v>
      </c>
      <c r="F712" s="8" t="str">
        <f>"1995-06-07"</f>
        <v>1995-06-07</v>
      </c>
      <c r="G712" s="9"/>
    </row>
    <row r="713" spans="1:7" ht="13.5">
      <c r="A713" s="7">
        <v>711</v>
      </c>
      <c r="B713" s="8" t="str">
        <f>"2341202009101722352409"</f>
        <v>2341202009101722352409</v>
      </c>
      <c r="C713" s="8" t="s">
        <v>8</v>
      </c>
      <c r="D713" s="8" t="str">
        <f>"李有丹"</f>
        <v>李有丹</v>
      </c>
      <c r="E713" s="8" t="str">
        <f t="shared" si="27"/>
        <v>女</v>
      </c>
      <c r="F713" s="8" t="str">
        <f>"1996-07-17"</f>
        <v>1996-07-17</v>
      </c>
      <c r="G713" s="9"/>
    </row>
    <row r="714" spans="1:7" ht="13.5">
      <c r="A714" s="7">
        <v>712</v>
      </c>
      <c r="B714" s="8" t="str">
        <f>"2341202009101724132410"</f>
        <v>2341202009101724132410</v>
      </c>
      <c r="C714" s="8" t="s">
        <v>8</v>
      </c>
      <c r="D714" s="8" t="str">
        <f>"周汇子"</f>
        <v>周汇子</v>
      </c>
      <c r="E714" s="8" t="str">
        <f t="shared" si="27"/>
        <v>女</v>
      </c>
      <c r="F714" s="8" t="str">
        <f>"1995-08-14"</f>
        <v>1995-08-14</v>
      </c>
      <c r="G714" s="9"/>
    </row>
    <row r="715" spans="1:7" ht="13.5">
      <c r="A715" s="7">
        <v>713</v>
      </c>
      <c r="B715" s="8" t="str">
        <f>"2341202009101737012412"</f>
        <v>2341202009101737012412</v>
      </c>
      <c r="C715" s="8" t="s">
        <v>8</v>
      </c>
      <c r="D715" s="8" t="str">
        <f>"钟文莹"</f>
        <v>钟文莹</v>
      </c>
      <c r="E715" s="8" t="str">
        <f t="shared" si="27"/>
        <v>女</v>
      </c>
      <c r="F715" s="8" t="str">
        <f>"1996-07-15"</f>
        <v>1996-07-15</v>
      </c>
      <c r="G715" s="9"/>
    </row>
    <row r="716" spans="1:7" ht="13.5">
      <c r="A716" s="7">
        <v>714</v>
      </c>
      <c r="B716" s="8" t="str">
        <f>"2341202009101750122417"</f>
        <v>2341202009101750122417</v>
      </c>
      <c r="C716" s="8" t="s">
        <v>8</v>
      </c>
      <c r="D716" s="8" t="str">
        <f>"陈嫔韵"</f>
        <v>陈嫔韵</v>
      </c>
      <c r="E716" s="8" t="str">
        <f t="shared" si="27"/>
        <v>女</v>
      </c>
      <c r="F716" s="8" t="str">
        <f>"1996-03-13"</f>
        <v>1996-03-13</v>
      </c>
      <c r="G716" s="9"/>
    </row>
    <row r="717" spans="1:7" ht="13.5">
      <c r="A717" s="7">
        <v>715</v>
      </c>
      <c r="B717" s="8" t="str">
        <f>"2341202009101954052426"</f>
        <v>2341202009101954052426</v>
      </c>
      <c r="C717" s="8" t="s">
        <v>8</v>
      </c>
      <c r="D717" s="8" t="str">
        <f>"赵晓帆"</f>
        <v>赵晓帆</v>
      </c>
      <c r="E717" s="8" t="str">
        <f t="shared" si="27"/>
        <v>女</v>
      </c>
      <c r="F717" s="8" t="str">
        <f>"1998-05-11"</f>
        <v>1998-05-11</v>
      </c>
      <c r="G717" s="9"/>
    </row>
    <row r="718" spans="1:7" ht="13.5">
      <c r="A718" s="7">
        <v>716</v>
      </c>
      <c r="B718" s="8" t="str">
        <f>"2341202009101956232427"</f>
        <v>2341202009101956232427</v>
      </c>
      <c r="C718" s="8" t="s">
        <v>8</v>
      </c>
      <c r="D718" s="8" t="str">
        <f>"符马丽"</f>
        <v>符马丽</v>
      </c>
      <c r="E718" s="8" t="str">
        <f t="shared" si="27"/>
        <v>女</v>
      </c>
      <c r="F718" s="8" t="str">
        <f>"1994-09-25"</f>
        <v>1994-09-25</v>
      </c>
      <c r="G718" s="9"/>
    </row>
    <row r="719" spans="1:7" ht="13.5">
      <c r="A719" s="7">
        <v>717</v>
      </c>
      <c r="B719" s="8" t="str">
        <f>"2341202009102000092428"</f>
        <v>2341202009102000092428</v>
      </c>
      <c r="C719" s="8" t="s">
        <v>8</v>
      </c>
      <c r="D719" s="8" t="str">
        <f>"李艳红"</f>
        <v>李艳红</v>
      </c>
      <c r="E719" s="8" t="str">
        <f t="shared" si="27"/>
        <v>女</v>
      </c>
      <c r="F719" s="8" t="str">
        <f>"1989-12-14"</f>
        <v>1989-12-14</v>
      </c>
      <c r="G719" s="9"/>
    </row>
    <row r="720" spans="1:7" ht="13.5">
      <c r="A720" s="7">
        <v>718</v>
      </c>
      <c r="B720" s="8" t="str">
        <f>"2341202009102041422431"</f>
        <v>2341202009102041422431</v>
      </c>
      <c r="C720" s="8" t="s">
        <v>8</v>
      </c>
      <c r="D720" s="8" t="str">
        <f>"李海妹"</f>
        <v>李海妹</v>
      </c>
      <c r="E720" s="8" t="str">
        <f t="shared" si="27"/>
        <v>女</v>
      </c>
      <c r="F720" s="8" t="str">
        <f>"1990-08-19"</f>
        <v>1990-08-19</v>
      </c>
      <c r="G720" s="9"/>
    </row>
    <row r="721" spans="1:7" ht="13.5">
      <c r="A721" s="7">
        <v>719</v>
      </c>
      <c r="B721" s="8" t="str">
        <f>"2341202009102051062433"</f>
        <v>2341202009102051062433</v>
      </c>
      <c r="C721" s="8" t="s">
        <v>8</v>
      </c>
      <c r="D721" s="8" t="str">
        <f>"唐电玉"</f>
        <v>唐电玉</v>
      </c>
      <c r="E721" s="8" t="str">
        <f t="shared" si="27"/>
        <v>女</v>
      </c>
      <c r="F721" s="8" t="str">
        <f>"1991-01-11"</f>
        <v>1991-01-11</v>
      </c>
      <c r="G721" s="9"/>
    </row>
    <row r="722" spans="1:7" ht="13.5">
      <c r="A722" s="7">
        <v>720</v>
      </c>
      <c r="B722" s="8" t="str">
        <f>"2341202009102056092434"</f>
        <v>2341202009102056092434</v>
      </c>
      <c r="C722" s="8" t="s">
        <v>8</v>
      </c>
      <c r="D722" s="8" t="str">
        <f>"林桂梅"</f>
        <v>林桂梅</v>
      </c>
      <c r="E722" s="8" t="str">
        <f t="shared" si="27"/>
        <v>女</v>
      </c>
      <c r="F722" s="8" t="str">
        <f>"1990-01-23"</f>
        <v>1990-01-23</v>
      </c>
      <c r="G722" s="9"/>
    </row>
    <row r="723" spans="1:7" ht="13.5">
      <c r="A723" s="7">
        <v>721</v>
      </c>
      <c r="B723" s="8" t="str">
        <f>"2341202009102114222437"</f>
        <v>2341202009102114222437</v>
      </c>
      <c r="C723" s="8" t="s">
        <v>8</v>
      </c>
      <c r="D723" s="8" t="str">
        <f>"龙濡"</f>
        <v>龙濡</v>
      </c>
      <c r="E723" s="8" t="str">
        <f t="shared" si="27"/>
        <v>女</v>
      </c>
      <c r="F723" s="8" t="str">
        <f>"1998-04-29"</f>
        <v>1998-04-29</v>
      </c>
      <c r="G723" s="9"/>
    </row>
    <row r="724" spans="1:7" ht="13.5">
      <c r="A724" s="7">
        <v>722</v>
      </c>
      <c r="B724" s="8" t="str">
        <f>"2341202009102116552438"</f>
        <v>2341202009102116552438</v>
      </c>
      <c r="C724" s="8" t="s">
        <v>8</v>
      </c>
      <c r="D724" s="8" t="str">
        <f>"郑丽银"</f>
        <v>郑丽银</v>
      </c>
      <c r="E724" s="8" t="str">
        <f t="shared" si="27"/>
        <v>女</v>
      </c>
      <c r="F724" s="8" t="str">
        <f>"1990-10-08"</f>
        <v>1990-10-08</v>
      </c>
      <c r="G724" s="9"/>
    </row>
    <row r="725" spans="1:7" ht="13.5">
      <c r="A725" s="7">
        <v>723</v>
      </c>
      <c r="B725" s="8" t="str">
        <f>"2341202009102118112439"</f>
        <v>2341202009102118112439</v>
      </c>
      <c r="C725" s="8" t="s">
        <v>8</v>
      </c>
      <c r="D725" s="8" t="str">
        <f>"董爵玲"</f>
        <v>董爵玲</v>
      </c>
      <c r="E725" s="8" t="str">
        <f t="shared" si="27"/>
        <v>女</v>
      </c>
      <c r="F725" s="8" t="str">
        <f>"1995-05-03"</f>
        <v>1995-05-03</v>
      </c>
      <c r="G725" s="9"/>
    </row>
    <row r="726" spans="1:7" ht="13.5">
      <c r="A726" s="7">
        <v>724</v>
      </c>
      <c r="B726" s="8" t="str">
        <f>"2341202009102122252441"</f>
        <v>2341202009102122252441</v>
      </c>
      <c r="C726" s="8" t="s">
        <v>8</v>
      </c>
      <c r="D726" s="8" t="str">
        <f>"苏利曼"</f>
        <v>苏利曼</v>
      </c>
      <c r="E726" s="8" t="str">
        <f t="shared" si="27"/>
        <v>女</v>
      </c>
      <c r="F726" s="8" t="str">
        <f>"1995-08-03"</f>
        <v>1995-08-03</v>
      </c>
      <c r="G726" s="9"/>
    </row>
    <row r="727" spans="1:7" ht="13.5">
      <c r="A727" s="7">
        <v>725</v>
      </c>
      <c r="B727" s="8" t="str">
        <f>"2341202009102152312447"</f>
        <v>2341202009102152312447</v>
      </c>
      <c r="C727" s="8" t="s">
        <v>8</v>
      </c>
      <c r="D727" s="8" t="str">
        <f>"何琼祯"</f>
        <v>何琼祯</v>
      </c>
      <c r="E727" s="8" t="str">
        <f t="shared" si="27"/>
        <v>女</v>
      </c>
      <c r="F727" s="8" t="str">
        <f>"1996-01-08"</f>
        <v>1996-01-08</v>
      </c>
      <c r="G727" s="9"/>
    </row>
    <row r="728" spans="1:7" ht="13.5">
      <c r="A728" s="7">
        <v>726</v>
      </c>
      <c r="B728" s="8" t="str">
        <f>"2341202009102156472449"</f>
        <v>2341202009102156472449</v>
      </c>
      <c r="C728" s="8" t="s">
        <v>8</v>
      </c>
      <c r="D728" s="8" t="str">
        <f>"郑萍"</f>
        <v>郑萍</v>
      </c>
      <c r="E728" s="8" t="str">
        <f t="shared" si="27"/>
        <v>女</v>
      </c>
      <c r="F728" s="8" t="str">
        <f>"1990-07-21"</f>
        <v>1990-07-21</v>
      </c>
      <c r="G728" s="9"/>
    </row>
    <row r="729" spans="1:7" ht="13.5">
      <c r="A729" s="7">
        <v>727</v>
      </c>
      <c r="B729" s="8" t="str">
        <f>"2341202009102237412457"</f>
        <v>2341202009102237412457</v>
      </c>
      <c r="C729" s="8" t="s">
        <v>8</v>
      </c>
      <c r="D729" s="8" t="str">
        <f>"罗敏"</f>
        <v>罗敏</v>
      </c>
      <c r="E729" s="8" t="str">
        <f t="shared" si="27"/>
        <v>女</v>
      </c>
      <c r="F729" s="8" t="str">
        <f>"1987-12-10"</f>
        <v>1987-12-10</v>
      </c>
      <c r="G729" s="9"/>
    </row>
    <row r="730" spans="1:7" ht="13.5">
      <c r="A730" s="7">
        <v>728</v>
      </c>
      <c r="B730" s="8" t="str">
        <f>"2341202009102248182459"</f>
        <v>2341202009102248182459</v>
      </c>
      <c r="C730" s="8" t="s">
        <v>8</v>
      </c>
      <c r="D730" s="8" t="str">
        <f>"张赢天"</f>
        <v>张赢天</v>
      </c>
      <c r="E730" s="8" t="str">
        <f t="shared" si="27"/>
        <v>女</v>
      </c>
      <c r="F730" s="8" t="str">
        <f>"1994-09-29"</f>
        <v>1994-09-29</v>
      </c>
      <c r="G730" s="9"/>
    </row>
    <row r="731" spans="1:7" ht="13.5">
      <c r="A731" s="7">
        <v>729</v>
      </c>
      <c r="B731" s="8" t="str">
        <f>"2341202009102249592460"</f>
        <v>2341202009102249592460</v>
      </c>
      <c r="C731" s="8" t="s">
        <v>8</v>
      </c>
      <c r="D731" s="8" t="str">
        <f>"周艳玲"</f>
        <v>周艳玲</v>
      </c>
      <c r="E731" s="8" t="str">
        <f t="shared" si="27"/>
        <v>女</v>
      </c>
      <c r="F731" s="8" t="str">
        <f>"1990-11-05"</f>
        <v>1990-11-05</v>
      </c>
      <c r="G731" s="9"/>
    </row>
    <row r="732" spans="1:7" ht="13.5">
      <c r="A732" s="7">
        <v>730</v>
      </c>
      <c r="B732" s="8" t="str">
        <f>"2341202009102253232462"</f>
        <v>2341202009102253232462</v>
      </c>
      <c r="C732" s="8" t="s">
        <v>8</v>
      </c>
      <c r="D732" s="8" t="str">
        <f>"王裕銮"</f>
        <v>王裕銮</v>
      </c>
      <c r="E732" s="8" t="str">
        <f t="shared" si="27"/>
        <v>女</v>
      </c>
      <c r="F732" s="8" t="str">
        <f>"1994-03-13"</f>
        <v>1994-03-13</v>
      </c>
      <c r="G732" s="9"/>
    </row>
    <row r="733" spans="1:7" ht="13.5">
      <c r="A733" s="7">
        <v>731</v>
      </c>
      <c r="B733" s="8" t="str">
        <f>"2341202009102322382464"</f>
        <v>2341202009102322382464</v>
      </c>
      <c r="C733" s="8" t="s">
        <v>8</v>
      </c>
      <c r="D733" s="8" t="str">
        <f>"陈东琳"</f>
        <v>陈东琳</v>
      </c>
      <c r="E733" s="8" t="str">
        <f t="shared" si="27"/>
        <v>女</v>
      </c>
      <c r="F733" s="8" t="str">
        <f>"1993-12-29"</f>
        <v>1993-12-29</v>
      </c>
      <c r="G733" s="9"/>
    </row>
    <row r="734" spans="1:7" ht="13.5">
      <c r="A734" s="7">
        <v>732</v>
      </c>
      <c r="B734" s="8" t="str">
        <f>"2341202009102337032467"</f>
        <v>2341202009102337032467</v>
      </c>
      <c r="C734" s="8" t="s">
        <v>8</v>
      </c>
      <c r="D734" s="8" t="str">
        <f>"赵坤相"</f>
        <v>赵坤相</v>
      </c>
      <c r="E734" s="8" t="str">
        <f t="shared" si="27"/>
        <v>女</v>
      </c>
      <c r="F734" s="8" t="str">
        <f>"1995-08-18"</f>
        <v>1995-08-18</v>
      </c>
      <c r="G734" s="9"/>
    </row>
    <row r="735" spans="1:7" ht="13.5">
      <c r="A735" s="7">
        <v>733</v>
      </c>
      <c r="B735" s="8" t="str">
        <f>"2341202009110823312474"</f>
        <v>2341202009110823312474</v>
      </c>
      <c r="C735" s="8" t="s">
        <v>8</v>
      </c>
      <c r="D735" s="8" t="str">
        <f>"邢妮挪"</f>
        <v>邢妮挪</v>
      </c>
      <c r="E735" s="8" t="str">
        <f t="shared" si="27"/>
        <v>女</v>
      </c>
      <c r="F735" s="8" t="str">
        <f>"1996-05-26"</f>
        <v>1996-05-26</v>
      </c>
      <c r="G735" s="9"/>
    </row>
    <row r="736" spans="1:7" ht="13.5">
      <c r="A736" s="7">
        <v>734</v>
      </c>
      <c r="B736" s="8" t="str">
        <f>"2341202009110928182483"</f>
        <v>2341202009110928182483</v>
      </c>
      <c r="C736" s="8" t="s">
        <v>8</v>
      </c>
      <c r="D736" s="8" t="str">
        <f>"高喜红"</f>
        <v>高喜红</v>
      </c>
      <c r="E736" s="8" t="str">
        <f t="shared" si="27"/>
        <v>女</v>
      </c>
      <c r="F736" s="8" t="str">
        <f>"1996-03-12"</f>
        <v>1996-03-12</v>
      </c>
      <c r="G736" s="9"/>
    </row>
    <row r="737" spans="1:7" ht="13.5">
      <c r="A737" s="7">
        <v>735</v>
      </c>
      <c r="B737" s="8" t="str">
        <f>"2341202009110929442484"</f>
        <v>2341202009110929442484</v>
      </c>
      <c r="C737" s="8" t="s">
        <v>8</v>
      </c>
      <c r="D737" s="8" t="str">
        <f>"莫海燕"</f>
        <v>莫海燕</v>
      </c>
      <c r="E737" s="8" t="str">
        <f t="shared" si="27"/>
        <v>女</v>
      </c>
      <c r="F737" s="8" t="str">
        <f>"1995-11-06"</f>
        <v>1995-11-06</v>
      </c>
      <c r="G737" s="9"/>
    </row>
    <row r="738" spans="1:7" ht="13.5">
      <c r="A738" s="7">
        <v>736</v>
      </c>
      <c r="B738" s="8" t="str">
        <f>"2341202009110946162487"</f>
        <v>2341202009110946162487</v>
      </c>
      <c r="C738" s="8" t="s">
        <v>8</v>
      </c>
      <c r="D738" s="8" t="str">
        <f>"郑一梅"</f>
        <v>郑一梅</v>
      </c>
      <c r="E738" s="8" t="str">
        <f t="shared" si="27"/>
        <v>女</v>
      </c>
      <c r="F738" s="8" t="str">
        <f>"1997-05-23"</f>
        <v>1997-05-23</v>
      </c>
      <c r="G738" s="9"/>
    </row>
    <row r="739" spans="1:7" ht="13.5">
      <c r="A739" s="7">
        <v>737</v>
      </c>
      <c r="B739" s="8" t="str">
        <f>"2341202009110959412492"</f>
        <v>2341202009110959412492</v>
      </c>
      <c r="C739" s="8" t="s">
        <v>8</v>
      </c>
      <c r="D739" s="8" t="str">
        <f>"周莹"</f>
        <v>周莹</v>
      </c>
      <c r="E739" s="8" t="str">
        <f t="shared" si="27"/>
        <v>女</v>
      </c>
      <c r="F739" s="8" t="str">
        <f>"1996-12-12"</f>
        <v>1996-12-12</v>
      </c>
      <c r="G739" s="9"/>
    </row>
    <row r="740" spans="1:7" ht="13.5">
      <c r="A740" s="7">
        <v>738</v>
      </c>
      <c r="B740" s="8" t="str">
        <f>"2341202009111038152500"</f>
        <v>2341202009111038152500</v>
      </c>
      <c r="C740" s="8" t="s">
        <v>8</v>
      </c>
      <c r="D740" s="8" t="str">
        <f>"黎华华"</f>
        <v>黎华华</v>
      </c>
      <c r="E740" s="8" t="str">
        <f t="shared" si="27"/>
        <v>女</v>
      </c>
      <c r="F740" s="8" t="str">
        <f>"1992-01-29"</f>
        <v>1992-01-29</v>
      </c>
      <c r="G740" s="9"/>
    </row>
    <row r="741" spans="1:7" ht="13.5">
      <c r="A741" s="7">
        <v>739</v>
      </c>
      <c r="B741" s="8" t="str">
        <f>"2341202009111112242506"</f>
        <v>2341202009111112242506</v>
      </c>
      <c r="C741" s="8" t="s">
        <v>8</v>
      </c>
      <c r="D741" s="8" t="str">
        <f>"陈晓雄"</f>
        <v>陈晓雄</v>
      </c>
      <c r="E741" s="8" t="str">
        <f>"男"</f>
        <v>男</v>
      </c>
      <c r="F741" s="8" t="str">
        <f>"1991-10-10"</f>
        <v>1991-10-10</v>
      </c>
      <c r="G741" s="9"/>
    </row>
    <row r="742" spans="1:7" ht="13.5">
      <c r="A742" s="7">
        <v>740</v>
      </c>
      <c r="B742" s="8" t="str">
        <f>"2341202009111132352508"</f>
        <v>2341202009111132352508</v>
      </c>
      <c r="C742" s="8" t="s">
        <v>8</v>
      </c>
      <c r="D742" s="8" t="str">
        <f>"丁诗琪"</f>
        <v>丁诗琪</v>
      </c>
      <c r="E742" s="8" t="str">
        <f aca="true" t="shared" si="28" ref="E742:E773">"女"</f>
        <v>女</v>
      </c>
      <c r="F742" s="8" t="str">
        <f>"1997-06-06"</f>
        <v>1997-06-06</v>
      </c>
      <c r="G742" s="9"/>
    </row>
    <row r="743" spans="1:7" ht="13.5">
      <c r="A743" s="7">
        <v>741</v>
      </c>
      <c r="B743" s="8" t="str">
        <f>"2341202009111138042509"</f>
        <v>2341202009111138042509</v>
      </c>
      <c r="C743" s="8" t="s">
        <v>8</v>
      </c>
      <c r="D743" s="8" t="str">
        <f>"梁诗婷"</f>
        <v>梁诗婷</v>
      </c>
      <c r="E743" s="8" t="str">
        <f t="shared" si="28"/>
        <v>女</v>
      </c>
      <c r="F743" s="8" t="str">
        <f>"1992-10-16"</f>
        <v>1992-10-16</v>
      </c>
      <c r="G743" s="9"/>
    </row>
    <row r="744" spans="1:7" ht="13.5">
      <c r="A744" s="7">
        <v>742</v>
      </c>
      <c r="B744" s="8" t="str">
        <f>"2341202009111155112514"</f>
        <v>2341202009111155112514</v>
      </c>
      <c r="C744" s="8" t="s">
        <v>8</v>
      </c>
      <c r="D744" s="8" t="str">
        <f>"吴鑫惠"</f>
        <v>吴鑫惠</v>
      </c>
      <c r="E744" s="8" t="str">
        <f t="shared" si="28"/>
        <v>女</v>
      </c>
      <c r="F744" s="8" t="str">
        <f>"1995-02-14"</f>
        <v>1995-02-14</v>
      </c>
      <c r="G744" s="9"/>
    </row>
    <row r="745" spans="1:7" ht="13.5">
      <c r="A745" s="7">
        <v>743</v>
      </c>
      <c r="B745" s="8" t="str">
        <f>"2341202009111221112517"</f>
        <v>2341202009111221112517</v>
      </c>
      <c r="C745" s="8" t="s">
        <v>8</v>
      </c>
      <c r="D745" s="8" t="str">
        <f>"黄桂花"</f>
        <v>黄桂花</v>
      </c>
      <c r="E745" s="8" t="str">
        <f t="shared" si="28"/>
        <v>女</v>
      </c>
      <c r="F745" s="8" t="str">
        <f>"1997-04-18"</f>
        <v>1997-04-18</v>
      </c>
      <c r="G745" s="9"/>
    </row>
    <row r="746" spans="1:7" ht="13.5">
      <c r="A746" s="7">
        <v>744</v>
      </c>
      <c r="B746" s="8" t="str">
        <f>"2341202009111229412518"</f>
        <v>2341202009111229412518</v>
      </c>
      <c r="C746" s="8" t="s">
        <v>8</v>
      </c>
      <c r="D746" s="8" t="str">
        <f>"苏亚敏"</f>
        <v>苏亚敏</v>
      </c>
      <c r="E746" s="8" t="str">
        <f t="shared" si="28"/>
        <v>女</v>
      </c>
      <c r="F746" s="8" t="str">
        <f>"1995-01-13"</f>
        <v>1995-01-13</v>
      </c>
      <c r="G746" s="9"/>
    </row>
    <row r="747" spans="1:7" ht="13.5">
      <c r="A747" s="7">
        <v>745</v>
      </c>
      <c r="B747" s="8" t="str">
        <f>"2341202009111252432520"</f>
        <v>2341202009111252432520</v>
      </c>
      <c r="C747" s="8" t="s">
        <v>8</v>
      </c>
      <c r="D747" s="8" t="str">
        <f>"冯丽娟"</f>
        <v>冯丽娟</v>
      </c>
      <c r="E747" s="8" t="str">
        <f t="shared" si="28"/>
        <v>女</v>
      </c>
      <c r="F747" s="8" t="str">
        <f>"1996-07-18"</f>
        <v>1996-07-18</v>
      </c>
      <c r="G747" s="9"/>
    </row>
    <row r="748" spans="1:7" ht="13.5">
      <c r="A748" s="7">
        <v>746</v>
      </c>
      <c r="B748" s="8" t="str">
        <f>"2341202009111327492522"</f>
        <v>2341202009111327492522</v>
      </c>
      <c r="C748" s="8" t="s">
        <v>8</v>
      </c>
      <c r="D748" s="8" t="str">
        <f>"王海珊"</f>
        <v>王海珊</v>
      </c>
      <c r="E748" s="8" t="str">
        <f t="shared" si="28"/>
        <v>女</v>
      </c>
      <c r="F748" s="8" t="str">
        <f>"1995-01-05"</f>
        <v>1995-01-05</v>
      </c>
      <c r="G748" s="9"/>
    </row>
    <row r="749" spans="1:7" ht="13.5">
      <c r="A749" s="7">
        <v>747</v>
      </c>
      <c r="B749" s="8" t="str">
        <f>"2341202009111331122524"</f>
        <v>2341202009111331122524</v>
      </c>
      <c r="C749" s="8" t="s">
        <v>8</v>
      </c>
      <c r="D749" s="8" t="str">
        <f>"董超瑶"</f>
        <v>董超瑶</v>
      </c>
      <c r="E749" s="8" t="str">
        <f t="shared" si="28"/>
        <v>女</v>
      </c>
      <c r="F749" s="8" t="str">
        <f>"1993-01-20"</f>
        <v>1993-01-20</v>
      </c>
      <c r="G749" s="9"/>
    </row>
    <row r="750" spans="1:7" ht="13.5">
      <c r="A750" s="7">
        <v>748</v>
      </c>
      <c r="B750" s="8" t="str">
        <f>"2341202009111402262528"</f>
        <v>2341202009111402262528</v>
      </c>
      <c r="C750" s="8" t="s">
        <v>8</v>
      </c>
      <c r="D750" s="8" t="str">
        <f>"黎玉兰"</f>
        <v>黎玉兰</v>
      </c>
      <c r="E750" s="8" t="str">
        <f t="shared" si="28"/>
        <v>女</v>
      </c>
      <c r="F750" s="8" t="str">
        <f>"1993-04-08"</f>
        <v>1993-04-08</v>
      </c>
      <c r="G750" s="9"/>
    </row>
    <row r="751" spans="1:7" ht="13.5">
      <c r="A751" s="7">
        <v>749</v>
      </c>
      <c r="B751" s="8" t="str">
        <f>"2341202009111439242531"</f>
        <v>2341202009111439242531</v>
      </c>
      <c r="C751" s="8" t="s">
        <v>8</v>
      </c>
      <c r="D751" s="8" t="str">
        <f>"符月婷"</f>
        <v>符月婷</v>
      </c>
      <c r="E751" s="8" t="str">
        <f t="shared" si="28"/>
        <v>女</v>
      </c>
      <c r="F751" s="8" t="str">
        <f>"1990-06-17"</f>
        <v>1990-06-17</v>
      </c>
      <c r="G751" s="9"/>
    </row>
    <row r="752" spans="1:7" ht="13.5">
      <c r="A752" s="7">
        <v>750</v>
      </c>
      <c r="B752" s="8" t="str">
        <f>"2341202009111504122533"</f>
        <v>2341202009111504122533</v>
      </c>
      <c r="C752" s="8" t="s">
        <v>8</v>
      </c>
      <c r="D752" s="8" t="str">
        <f>"王秀娜"</f>
        <v>王秀娜</v>
      </c>
      <c r="E752" s="8" t="str">
        <f t="shared" si="28"/>
        <v>女</v>
      </c>
      <c r="F752" s="8" t="str">
        <f>"1995-07-12"</f>
        <v>1995-07-12</v>
      </c>
      <c r="G752" s="9"/>
    </row>
    <row r="753" spans="1:7" ht="13.5">
      <c r="A753" s="7">
        <v>751</v>
      </c>
      <c r="B753" s="8" t="str">
        <f>"2341202009111514052534"</f>
        <v>2341202009111514052534</v>
      </c>
      <c r="C753" s="8" t="s">
        <v>8</v>
      </c>
      <c r="D753" s="8" t="str">
        <f>"于楠"</f>
        <v>于楠</v>
      </c>
      <c r="E753" s="8" t="str">
        <f t="shared" si="28"/>
        <v>女</v>
      </c>
      <c r="F753" s="8" t="str">
        <f>"1993-08-06"</f>
        <v>1993-08-06</v>
      </c>
      <c r="G753" s="9"/>
    </row>
    <row r="754" spans="1:7" ht="13.5">
      <c r="A754" s="7">
        <v>752</v>
      </c>
      <c r="B754" s="8" t="str">
        <f>"2341202009111543192541"</f>
        <v>2341202009111543192541</v>
      </c>
      <c r="C754" s="8" t="s">
        <v>8</v>
      </c>
      <c r="D754" s="8" t="str">
        <f>"韩妤"</f>
        <v>韩妤</v>
      </c>
      <c r="E754" s="8" t="str">
        <f t="shared" si="28"/>
        <v>女</v>
      </c>
      <c r="F754" s="8" t="str">
        <f>"1988-09-15"</f>
        <v>1988-09-15</v>
      </c>
      <c r="G754" s="9"/>
    </row>
    <row r="755" spans="1:7" ht="13.5">
      <c r="A755" s="7">
        <v>753</v>
      </c>
      <c r="B755" s="8" t="str">
        <f>"2341202009111608102546"</f>
        <v>2341202009111608102546</v>
      </c>
      <c r="C755" s="8" t="s">
        <v>8</v>
      </c>
      <c r="D755" s="8" t="str">
        <f>"李德萍"</f>
        <v>李德萍</v>
      </c>
      <c r="E755" s="8" t="str">
        <f t="shared" si="28"/>
        <v>女</v>
      </c>
      <c r="F755" s="8" t="str">
        <f>"1994-06-16"</f>
        <v>1994-06-16</v>
      </c>
      <c r="G755" s="9"/>
    </row>
    <row r="756" spans="1:7" ht="13.5">
      <c r="A756" s="7">
        <v>754</v>
      </c>
      <c r="B756" s="8" t="str">
        <f>"2341202009111609432547"</f>
        <v>2341202009111609432547</v>
      </c>
      <c r="C756" s="8" t="s">
        <v>8</v>
      </c>
      <c r="D756" s="8" t="str">
        <f>"符丽选"</f>
        <v>符丽选</v>
      </c>
      <c r="E756" s="8" t="str">
        <f t="shared" si="28"/>
        <v>女</v>
      </c>
      <c r="F756" s="8" t="str">
        <f>"1995-10-01"</f>
        <v>1995-10-01</v>
      </c>
      <c r="G756" s="9"/>
    </row>
    <row r="757" spans="1:7" ht="13.5">
      <c r="A757" s="7">
        <v>755</v>
      </c>
      <c r="B757" s="8" t="str">
        <f>"2341202009111612062548"</f>
        <v>2341202009111612062548</v>
      </c>
      <c r="C757" s="8" t="s">
        <v>8</v>
      </c>
      <c r="D757" s="8" t="str">
        <f>"孙小玉"</f>
        <v>孙小玉</v>
      </c>
      <c r="E757" s="8" t="str">
        <f t="shared" si="28"/>
        <v>女</v>
      </c>
      <c r="F757" s="8" t="str">
        <f>"1989-07-25"</f>
        <v>1989-07-25</v>
      </c>
      <c r="G757" s="9"/>
    </row>
    <row r="758" spans="1:7" ht="13.5">
      <c r="A758" s="7">
        <v>756</v>
      </c>
      <c r="B758" s="8" t="str">
        <f>"2341202009111624182553"</f>
        <v>2341202009111624182553</v>
      </c>
      <c r="C758" s="8" t="s">
        <v>8</v>
      </c>
      <c r="D758" s="8" t="str">
        <f>"林道娇"</f>
        <v>林道娇</v>
      </c>
      <c r="E758" s="8" t="str">
        <f t="shared" si="28"/>
        <v>女</v>
      </c>
      <c r="F758" s="8" t="str">
        <f>"1991-01-06"</f>
        <v>1991-01-06</v>
      </c>
      <c r="G758" s="9"/>
    </row>
    <row r="759" spans="1:7" ht="13.5">
      <c r="A759" s="7">
        <v>757</v>
      </c>
      <c r="B759" s="8" t="str">
        <f>"2341202009111651102558"</f>
        <v>2341202009111651102558</v>
      </c>
      <c r="C759" s="8" t="s">
        <v>8</v>
      </c>
      <c r="D759" s="8" t="str">
        <f>"黄扬恋"</f>
        <v>黄扬恋</v>
      </c>
      <c r="E759" s="8" t="str">
        <f t="shared" si="28"/>
        <v>女</v>
      </c>
      <c r="F759" s="8" t="str">
        <f>"1993-07-06"</f>
        <v>1993-07-06</v>
      </c>
      <c r="G759" s="9"/>
    </row>
    <row r="760" spans="1:7" ht="13.5">
      <c r="A760" s="7">
        <v>758</v>
      </c>
      <c r="B760" s="8" t="str">
        <f>"2341202009111703462560"</f>
        <v>2341202009111703462560</v>
      </c>
      <c r="C760" s="8" t="s">
        <v>8</v>
      </c>
      <c r="D760" s="8" t="str">
        <f>"梁飞"</f>
        <v>梁飞</v>
      </c>
      <c r="E760" s="8" t="str">
        <f t="shared" si="28"/>
        <v>女</v>
      </c>
      <c r="F760" s="8" t="str">
        <f>"1995-08-29"</f>
        <v>1995-08-29</v>
      </c>
      <c r="G760" s="9"/>
    </row>
    <row r="761" spans="1:7" ht="13.5">
      <c r="A761" s="7">
        <v>759</v>
      </c>
      <c r="B761" s="8" t="str">
        <f>"2341202009111709372561"</f>
        <v>2341202009111709372561</v>
      </c>
      <c r="C761" s="8" t="s">
        <v>8</v>
      </c>
      <c r="D761" s="8" t="str">
        <f>"邢璐璐"</f>
        <v>邢璐璐</v>
      </c>
      <c r="E761" s="8" t="str">
        <f t="shared" si="28"/>
        <v>女</v>
      </c>
      <c r="F761" s="8" t="str">
        <f>"1995-10-15"</f>
        <v>1995-10-15</v>
      </c>
      <c r="G761" s="9"/>
    </row>
    <row r="762" spans="1:7" ht="13.5">
      <c r="A762" s="7">
        <v>760</v>
      </c>
      <c r="B762" s="8" t="str">
        <f>"2341202009111809102569"</f>
        <v>2341202009111809102569</v>
      </c>
      <c r="C762" s="8" t="s">
        <v>8</v>
      </c>
      <c r="D762" s="8" t="str">
        <f>"邱玉琪"</f>
        <v>邱玉琪</v>
      </c>
      <c r="E762" s="8" t="str">
        <f t="shared" si="28"/>
        <v>女</v>
      </c>
      <c r="F762" s="8" t="str">
        <f>"1997-03-10"</f>
        <v>1997-03-10</v>
      </c>
      <c r="G762" s="9"/>
    </row>
    <row r="763" spans="1:7" ht="13.5">
      <c r="A763" s="7">
        <v>761</v>
      </c>
      <c r="B763" s="8" t="str">
        <f>"2341202009111820302570"</f>
        <v>2341202009111820302570</v>
      </c>
      <c r="C763" s="8" t="s">
        <v>8</v>
      </c>
      <c r="D763" s="8" t="str">
        <f>"欧彩虹"</f>
        <v>欧彩虹</v>
      </c>
      <c r="E763" s="8" t="str">
        <f t="shared" si="28"/>
        <v>女</v>
      </c>
      <c r="F763" s="8" t="str">
        <f>"1993-05-10"</f>
        <v>1993-05-10</v>
      </c>
      <c r="G763" s="9"/>
    </row>
    <row r="764" spans="1:7" ht="13.5">
      <c r="A764" s="7">
        <v>762</v>
      </c>
      <c r="B764" s="8" t="str">
        <f>"2341202009111824442572"</f>
        <v>2341202009111824442572</v>
      </c>
      <c r="C764" s="8" t="s">
        <v>8</v>
      </c>
      <c r="D764" s="8" t="str">
        <f>"李秋妹"</f>
        <v>李秋妹</v>
      </c>
      <c r="E764" s="8" t="str">
        <f t="shared" si="28"/>
        <v>女</v>
      </c>
      <c r="F764" s="8" t="str">
        <f>"1995-06-07"</f>
        <v>1995-06-07</v>
      </c>
      <c r="G764" s="9"/>
    </row>
    <row r="765" spans="1:7" ht="13.5">
      <c r="A765" s="7">
        <v>763</v>
      </c>
      <c r="B765" s="8" t="str">
        <f>"2341202009111910352581"</f>
        <v>2341202009111910352581</v>
      </c>
      <c r="C765" s="8" t="s">
        <v>8</v>
      </c>
      <c r="D765" s="8" t="str">
        <f>"程秀云"</f>
        <v>程秀云</v>
      </c>
      <c r="E765" s="8" t="str">
        <f t="shared" si="28"/>
        <v>女</v>
      </c>
      <c r="F765" s="8" t="str">
        <f>"1994-04-07"</f>
        <v>1994-04-07</v>
      </c>
      <c r="G765" s="9"/>
    </row>
    <row r="766" spans="1:7" ht="13.5">
      <c r="A766" s="7">
        <v>764</v>
      </c>
      <c r="B766" s="8" t="str">
        <f>"2341202009111937162583"</f>
        <v>2341202009111937162583</v>
      </c>
      <c r="C766" s="8" t="s">
        <v>8</v>
      </c>
      <c r="D766" s="8" t="str">
        <f>"杨莉坤"</f>
        <v>杨莉坤</v>
      </c>
      <c r="E766" s="8" t="str">
        <f t="shared" si="28"/>
        <v>女</v>
      </c>
      <c r="F766" s="8" t="str">
        <f>"1990-03-23"</f>
        <v>1990-03-23</v>
      </c>
      <c r="G766" s="9"/>
    </row>
    <row r="767" spans="1:7" ht="13.5">
      <c r="A767" s="7">
        <v>765</v>
      </c>
      <c r="B767" s="8" t="str">
        <f>"2341202009111944242584"</f>
        <v>2341202009111944242584</v>
      </c>
      <c r="C767" s="8" t="s">
        <v>8</v>
      </c>
      <c r="D767" s="8" t="str">
        <f>"周海英"</f>
        <v>周海英</v>
      </c>
      <c r="E767" s="8" t="str">
        <f t="shared" si="28"/>
        <v>女</v>
      </c>
      <c r="F767" s="8" t="str">
        <f>"1995-01-13"</f>
        <v>1995-01-13</v>
      </c>
      <c r="G767" s="9"/>
    </row>
    <row r="768" spans="1:7" ht="13.5">
      <c r="A768" s="7">
        <v>766</v>
      </c>
      <c r="B768" s="8" t="str">
        <f>"2341202009112030032591"</f>
        <v>2341202009112030032591</v>
      </c>
      <c r="C768" s="8" t="s">
        <v>8</v>
      </c>
      <c r="D768" s="8" t="str">
        <f>"王蕾"</f>
        <v>王蕾</v>
      </c>
      <c r="E768" s="8" t="str">
        <f t="shared" si="28"/>
        <v>女</v>
      </c>
      <c r="F768" s="8" t="str">
        <f>"1997-07-11"</f>
        <v>1997-07-11</v>
      </c>
      <c r="G768" s="9"/>
    </row>
    <row r="769" spans="1:7" ht="13.5">
      <c r="A769" s="7">
        <v>767</v>
      </c>
      <c r="B769" s="8" t="str">
        <f>"2341202009112044422592"</f>
        <v>2341202009112044422592</v>
      </c>
      <c r="C769" s="8" t="s">
        <v>8</v>
      </c>
      <c r="D769" s="8" t="str">
        <f>"吴庆菊"</f>
        <v>吴庆菊</v>
      </c>
      <c r="E769" s="8" t="str">
        <f t="shared" si="28"/>
        <v>女</v>
      </c>
      <c r="F769" s="8" t="str">
        <f>"1995-06-20"</f>
        <v>1995-06-20</v>
      </c>
      <c r="G769" s="9"/>
    </row>
    <row r="770" spans="1:7" ht="13.5">
      <c r="A770" s="7">
        <v>768</v>
      </c>
      <c r="B770" s="8" t="str">
        <f>"2341202009112107132595"</f>
        <v>2341202009112107132595</v>
      </c>
      <c r="C770" s="8" t="s">
        <v>8</v>
      </c>
      <c r="D770" s="8" t="str">
        <f>"陈君君"</f>
        <v>陈君君</v>
      </c>
      <c r="E770" s="8" t="str">
        <f t="shared" si="28"/>
        <v>女</v>
      </c>
      <c r="F770" s="8" t="str">
        <f>"1995-08-18"</f>
        <v>1995-08-18</v>
      </c>
      <c r="G770" s="9"/>
    </row>
    <row r="771" spans="1:7" ht="13.5">
      <c r="A771" s="7">
        <v>769</v>
      </c>
      <c r="B771" s="8" t="str">
        <f>"2341202009112116362596"</f>
        <v>2341202009112116362596</v>
      </c>
      <c r="C771" s="8" t="s">
        <v>8</v>
      </c>
      <c r="D771" s="8" t="str">
        <f>"方莹"</f>
        <v>方莹</v>
      </c>
      <c r="E771" s="8" t="str">
        <f t="shared" si="28"/>
        <v>女</v>
      </c>
      <c r="F771" s="8" t="str">
        <f>"1992-08-26"</f>
        <v>1992-08-26</v>
      </c>
      <c r="G771" s="9"/>
    </row>
    <row r="772" spans="1:7" ht="13.5">
      <c r="A772" s="7">
        <v>770</v>
      </c>
      <c r="B772" s="8" t="str">
        <f>"2341202009112131402599"</f>
        <v>2341202009112131402599</v>
      </c>
      <c r="C772" s="8" t="s">
        <v>8</v>
      </c>
      <c r="D772" s="8" t="str">
        <f>"殷盼"</f>
        <v>殷盼</v>
      </c>
      <c r="E772" s="8" t="str">
        <f t="shared" si="28"/>
        <v>女</v>
      </c>
      <c r="F772" s="8" t="str">
        <f>"1996-05-01"</f>
        <v>1996-05-01</v>
      </c>
      <c r="G772" s="9"/>
    </row>
    <row r="773" spans="1:7" ht="13.5">
      <c r="A773" s="7">
        <v>771</v>
      </c>
      <c r="B773" s="8" t="str">
        <f>"2341202009112132352601"</f>
        <v>2341202009112132352601</v>
      </c>
      <c r="C773" s="8" t="s">
        <v>8</v>
      </c>
      <c r="D773" s="8" t="str">
        <f>"曾祥蕊"</f>
        <v>曾祥蕊</v>
      </c>
      <c r="E773" s="8" t="str">
        <f t="shared" si="28"/>
        <v>女</v>
      </c>
      <c r="F773" s="8" t="str">
        <f>"1993-07-10"</f>
        <v>1993-07-10</v>
      </c>
      <c r="G773" s="9"/>
    </row>
    <row r="774" spans="1:7" ht="13.5">
      <c r="A774" s="7">
        <v>772</v>
      </c>
      <c r="B774" s="8" t="str">
        <f>"2341202009112154052603"</f>
        <v>2341202009112154052603</v>
      </c>
      <c r="C774" s="8" t="s">
        <v>8</v>
      </c>
      <c r="D774" s="8" t="str">
        <f>"陈佳艺"</f>
        <v>陈佳艺</v>
      </c>
      <c r="E774" s="8" t="str">
        <f aca="true" t="shared" si="29" ref="E774:E797">"女"</f>
        <v>女</v>
      </c>
      <c r="F774" s="8" t="str">
        <f>"1995-06-01"</f>
        <v>1995-06-01</v>
      </c>
      <c r="G774" s="9"/>
    </row>
    <row r="775" spans="1:7" ht="13.5">
      <c r="A775" s="7">
        <v>773</v>
      </c>
      <c r="B775" s="8" t="str">
        <f>"2341202009112237062609"</f>
        <v>2341202009112237062609</v>
      </c>
      <c r="C775" s="8" t="s">
        <v>8</v>
      </c>
      <c r="D775" s="8" t="str">
        <f>"聂菁"</f>
        <v>聂菁</v>
      </c>
      <c r="E775" s="8" t="str">
        <f t="shared" si="29"/>
        <v>女</v>
      </c>
      <c r="F775" s="8" t="str">
        <f>"1993-06-08"</f>
        <v>1993-06-08</v>
      </c>
      <c r="G775" s="9"/>
    </row>
    <row r="776" spans="1:7" ht="13.5">
      <c r="A776" s="7">
        <v>774</v>
      </c>
      <c r="B776" s="8" t="str">
        <f>"2341202009112253562613"</f>
        <v>2341202009112253562613</v>
      </c>
      <c r="C776" s="8" t="s">
        <v>8</v>
      </c>
      <c r="D776" s="8" t="str">
        <f>"王丽红"</f>
        <v>王丽红</v>
      </c>
      <c r="E776" s="8" t="str">
        <f t="shared" si="29"/>
        <v>女</v>
      </c>
      <c r="F776" s="8" t="str">
        <f>"1993-05-10"</f>
        <v>1993-05-10</v>
      </c>
      <c r="G776" s="9"/>
    </row>
    <row r="777" spans="1:7" ht="13.5">
      <c r="A777" s="7">
        <v>775</v>
      </c>
      <c r="B777" s="8" t="str">
        <f>"2341202009112257042614"</f>
        <v>2341202009112257042614</v>
      </c>
      <c r="C777" s="8" t="s">
        <v>8</v>
      </c>
      <c r="D777" s="8" t="str">
        <f>"叶蕾"</f>
        <v>叶蕾</v>
      </c>
      <c r="E777" s="8" t="str">
        <f t="shared" si="29"/>
        <v>女</v>
      </c>
      <c r="F777" s="8" t="str">
        <f>"1990-01-08"</f>
        <v>1990-01-08</v>
      </c>
      <c r="G777" s="9"/>
    </row>
    <row r="778" spans="1:7" ht="13.5">
      <c r="A778" s="7">
        <v>776</v>
      </c>
      <c r="B778" s="8" t="str">
        <f>"2341202009120006542618"</f>
        <v>2341202009120006542618</v>
      </c>
      <c r="C778" s="8" t="s">
        <v>8</v>
      </c>
      <c r="D778" s="8" t="str">
        <f>"邢思凡"</f>
        <v>邢思凡</v>
      </c>
      <c r="E778" s="8" t="str">
        <f t="shared" si="29"/>
        <v>女</v>
      </c>
      <c r="F778" s="8" t="str">
        <f>"1999-03-13"</f>
        <v>1999-03-13</v>
      </c>
      <c r="G778" s="9"/>
    </row>
    <row r="779" spans="1:7" ht="13.5">
      <c r="A779" s="7">
        <v>777</v>
      </c>
      <c r="B779" s="8" t="str">
        <f>"2341202009120057092619"</f>
        <v>2341202009120057092619</v>
      </c>
      <c r="C779" s="8" t="s">
        <v>8</v>
      </c>
      <c r="D779" s="8" t="str">
        <f>"陈章妮"</f>
        <v>陈章妮</v>
      </c>
      <c r="E779" s="8" t="str">
        <f t="shared" si="29"/>
        <v>女</v>
      </c>
      <c r="F779" s="8" t="str">
        <f>"1997-01-06"</f>
        <v>1997-01-06</v>
      </c>
      <c r="G779" s="9"/>
    </row>
    <row r="780" spans="1:7" ht="13.5">
      <c r="A780" s="7">
        <v>778</v>
      </c>
      <c r="B780" s="8" t="str">
        <f>"2341202009120127242620"</f>
        <v>2341202009120127242620</v>
      </c>
      <c r="C780" s="8" t="s">
        <v>8</v>
      </c>
      <c r="D780" s="8" t="str">
        <f>"陈燕"</f>
        <v>陈燕</v>
      </c>
      <c r="E780" s="8" t="str">
        <f t="shared" si="29"/>
        <v>女</v>
      </c>
      <c r="F780" s="8" t="str">
        <f>"1992-07-22"</f>
        <v>1992-07-22</v>
      </c>
      <c r="G780" s="9"/>
    </row>
    <row r="781" spans="1:7" ht="13.5">
      <c r="A781" s="7">
        <v>779</v>
      </c>
      <c r="B781" s="8" t="str">
        <f>"2341202009120838222624"</f>
        <v>2341202009120838222624</v>
      </c>
      <c r="C781" s="8" t="s">
        <v>8</v>
      </c>
      <c r="D781" s="8" t="str">
        <f>"王迦明"</f>
        <v>王迦明</v>
      </c>
      <c r="E781" s="8" t="str">
        <f t="shared" si="29"/>
        <v>女</v>
      </c>
      <c r="F781" s="8" t="str">
        <f>"1990-11-12"</f>
        <v>1990-11-12</v>
      </c>
      <c r="G781" s="9"/>
    </row>
    <row r="782" spans="1:7" ht="13.5">
      <c r="A782" s="7">
        <v>780</v>
      </c>
      <c r="B782" s="8" t="str">
        <f>"2341202009120909412627"</f>
        <v>2341202009120909412627</v>
      </c>
      <c r="C782" s="8" t="s">
        <v>8</v>
      </c>
      <c r="D782" s="8" t="str">
        <f>"郑媛心"</f>
        <v>郑媛心</v>
      </c>
      <c r="E782" s="8" t="str">
        <f t="shared" si="29"/>
        <v>女</v>
      </c>
      <c r="F782" s="8" t="str">
        <f>"1996-03-08"</f>
        <v>1996-03-08</v>
      </c>
      <c r="G782" s="9"/>
    </row>
    <row r="783" spans="1:7" ht="13.5">
      <c r="A783" s="7">
        <v>781</v>
      </c>
      <c r="B783" s="8" t="str">
        <f>"2341202009121016372636"</f>
        <v>2341202009121016372636</v>
      </c>
      <c r="C783" s="8" t="s">
        <v>8</v>
      </c>
      <c r="D783" s="8" t="str">
        <f>"钟清容"</f>
        <v>钟清容</v>
      </c>
      <c r="E783" s="8" t="str">
        <f t="shared" si="29"/>
        <v>女</v>
      </c>
      <c r="F783" s="8" t="str">
        <f>"1995-08-30"</f>
        <v>1995-08-30</v>
      </c>
      <c r="G783" s="9"/>
    </row>
    <row r="784" spans="1:7" ht="13.5">
      <c r="A784" s="7">
        <v>782</v>
      </c>
      <c r="B784" s="8" t="str">
        <f>"2341202009121025202638"</f>
        <v>2341202009121025202638</v>
      </c>
      <c r="C784" s="8" t="s">
        <v>8</v>
      </c>
      <c r="D784" s="8" t="str">
        <f>"邓婷婷"</f>
        <v>邓婷婷</v>
      </c>
      <c r="E784" s="8" t="str">
        <f t="shared" si="29"/>
        <v>女</v>
      </c>
      <c r="F784" s="8" t="str">
        <f>"1993-10-25"</f>
        <v>1993-10-25</v>
      </c>
      <c r="G784" s="9"/>
    </row>
    <row r="785" spans="1:7" ht="13.5">
      <c r="A785" s="7">
        <v>783</v>
      </c>
      <c r="B785" s="8" t="str">
        <f>"2341202009121037382640"</f>
        <v>2341202009121037382640</v>
      </c>
      <c r="C785" s="8" t="s">
        <v>8</v>
      </c>
      <c r="D785" s="8" t="str">
        <f>"卢娟"</f>
        <v>卢娟</v>
      </c>
      <c r="E785" s="8" t="str">
        <f t="shared" si="29"/>
        <v>女</v>
      </c>
      <c r="F785" s="8" t="str">
        <f>"1991-06-22"</f>
        <v>1991-06-22</v>
      </c>
      <c r="G785" s="9"/>
    </row>
    <row r="786" spans="1:7" ht="13.5">
      <c r="A786" s="7">
        <v>784</v>
      </c>
      <c r="B786" s="8" t="str">
        <f>"2341202009121056432645"</f>
        <v>2341202009121056432645</v>
      </c>
      <c r="C786" s="8" t="s">
        <v>8</v>
      </c>
      <c r="D786" s="8" t="str">
        <f>"羊玉欣"</f>
        <v>羊玉欣</v>
      </c>
      <c r="E786" s="8" t="str">
        <f t="shared" si="29"/>
        <v>女</v>
      </c>
      <c r="F786" s="8" t="str">
        <f>"1995-11-06"</f>
        <v>1995-11-06</v>
      </c>
      <c r="G786" s="9"/>
    </row>
    <row r="787" spans="1:7" ht="13.5">
      <c r="A787" s="7">
        <v>785</v>
      </c>
      <c r="B787" s="8" t="str">
        <f>"2341202009121057142646"</f>
        <v>2341202009121057142646</v>
      </c>
      <c r="C787" s="8" t="s">
        <v>8</v>
      </c>
      <c r="D787" s="8" t="str">
        <f>"容鸿珊"</f>
        <v>容鸿珊</v>
      </c>
      <c r="E787" s="8" t="str">
        <f t="shared" si="29"/>
        <v>女</v>
      </c>
      <c r="F787" s="8" t="str">
        <f>"1995-02-01"</f>
        <v>1995-02-01</v>
      </c>
      <c r="G787" s="9"/>
    </row>
    <row r="788" spans="1:7" ht="13.5">
      <c r="A788" s="7">
        <v>786</v>
      </c>
      <c r="B788" s="8" t="str">
        <f>"2341202009121106272649"</f>
        <v>2341202009121106272649</v>
      </c>
      <c r="C788" s="8" t="s">
        <v>8</v>
      </c>
      <c r="D788" s="8" t="str">
        <f>"张慧冲"</f>
        <v>张慧冲</v>
      </c>
      <c r="E788" s="8" t="str">
        <f t="shared" si="29"/>
        <v>女</v>
      </c>
      <c r="F788" s="8" t="str">
        <f>"1989-06-16"</f>
        <v>1989-06-16</v>
      </c>
      <c r="G788" s="9"/>
    </row>
    <row r="789" spans="1:7" ht="13.5">
      <c r="A789" s="7">
        <v>787</v>
      </c>
      <c r="B789" s="8" t="str">
        <f>"2341202009121120222650"</f>
        <v>2341202009121120222650</v>
      </c>
      <c r="C789" s="8" t="s">
        <v>8</v>
      </c>
      <c r="D789" s="8" t="str">
        <f>"麦惠群"</f>
        <v>麦惠群</v>
      </c>
      <c r="E789" s="8" t="str">
        <f t="shared" si="29"/>
        <v>女</v>
      </c>
      <c r="F789" s="8" t="str">
        <f>"1992-11-10"</f>
        <v>1992-11-10</v>
      </c>
      <c r="G789" s="9"/>
    </row>
    <row r="790" spans="1:7" ht="13.5">
      <c r="A790" s="7">
        <v>788</v>
      </c>
      <c r="B790" s="8" t="str">
        <f>"2341202009121121042651"</f>
        <v>2341202009121121042651</v>
      </c>
      <c r="C790" s="8" t="s">
        <v>8</v>
      </c>
      <c r="D790" s="8" t="str">
        <f>"李金英"</f>
        <v>李金英</v>
      </c>
      <c r="E790" s="8" t="str">
        <f t="shared" si="29"/>
        <v>女</v>
      </c>
      <c r="F790" s="8" t="str">
        <f>"1991-09-18"</f>
        <v>1991-09-18</v>
      </c>
      <c r="G790" s="9"/>
    </row>
    <row r="791" spans="1:7" ht="13.5">
      <c r="A791" s="7">
        <v>789</v>
      </c>
      <c r="B791" s="8" t="str">
        <f>"2341202009121146252658"</f>
        <v>2341202009121146252658</v>
      </c>
      <c r="C791" s="8" t="s">
        <v>8</v>
      </c>
      <c r="D791" s="8" t="str">
        <f>"邓一林"</f>
        <v>邓一林</v>
      </c>
      <c r="E791" s="8" t="str">
        <f t="shared" si="29"/>
        <v>女</v>
      </c>
      <c r="F791" s="8" t="str">
        <f>"1992-08-12"</f>
        <v>1992-08-12</v>
      </c>
      <c r="G791" s="9"/>
    </row>
    <row r="792" spans="1:7" ht="13.5">
      <c r="A792" s="7">
        <v>790</v>
      </c>
      <c r="B792" s="8" t="str">
        <f>"2341202009121159122661"</f>
        <v>2341202009121159122661</v>
      </c>
      <c r="C792" s="8" t="s">
        <v>8</v>
      </c>
      <c r="D792" s="8" t="str">
        <f>"李丽巧"</f>
        <v>李丽巧</v>
      </c>
      <c r="E792" s="8" t="str">
        <f t="shared" si="29"/>
        <v>女</v>
      </c>
      <c r="F792" s="8" t="str">
        <f>"1985-12-09"</f>
        <v>1985-12-09</v>
      </c>
      <c r="G792" s="9"/>
    </row>
    <row r="793" spans="1:7" ht="13.5">
      <c r="A793" s="7">
        <v>791</v>
      </c>
      <c r="B793" s="8" t="str">
        <f>"2341202009121159242662"</f>
        <v>2341202009121159242662</v>
      </c>
      <c r="C793" s="8" t="s">
        <v>8</v>
      </c>
      <c r="D793" s="8" t="str">
        <f>"齐星星"</f>
        <v>齐星星</v>
      </c>
      <c r="E793" s="8" t="str">
        <f t="shared" si="29"/>
        <v>女</v>
      </c>
      <c r="F793" s="8" t="str">
        <f>"1991-07-23"</f>
        <v>1991-07-23</v>
      </c>
      <c r="G793" s="9"/>
    </row>
    <row r="794" spans="1:7" ht="13.5">
      <c r="A794" s="7">
        <v>792</v>
      </c>
      <c r="B794" s="8" t="str">
        <f>"2341202009121203382664"</f>
        <v>2341202009121203382664</v>
      </c>
      <c r="C794" s="8" t="s">
        <v>8</v>
      </c>
      <c r="D794" s="8" t="str">
        <f>"吴青"</f>
        <v>吴青</v>
      </c>
      <c r="E794" s="8" t="str">
        <f t="shared" si="29"/>
        <v>女</v>
      </c>
      <c r="F794" s="8" t="str">
        <f>"1993-09-12"</f>
        <v>1993-09-12</v>
      </c>
      <c r="G794" s="9"/>
    </row>
    <row r="795" spans="1:7" ht="13.5">
      <c r="A795" s="7">
        <v>793</v>
      </c>
      <c r="B795" s="8" t="str">
        <f>"2341202009121212112665"</f>
        <v>2341202009121212112665</v>
      </c>
      <c r="C795" s="8" t="s">
        <v>8</v>
      </c>
      <c r="D795" s="8" t="str">
        <f>"朴海乐"</f>
        <v>朴海乐</v>
      </c>
      <c r="E795" s="8" t="str">
        <f t="shared" si="29"/>
        <v>女</v>
      </c>
      <c r="F795" s="8" t="str">
        <f>"1990-10-05"</f>
        <v>1990-10-05</v>
      </c>
      <c r="G795" s="9"/>
    </row>
    <row r="796" spans="1:7" ht="13.5">
      <c r="A796" s="7">
        <v>794</v>
      </c>
      <c r="B796" s="8" t="str">
        <f>"2341202009121215252666"</f>
        <v>2341202009121215252666</v>
      </c>
      <c r="C796" s="8" t="s">
        <v>8</v>
      </c>
      <c r="D796" s="8" t="str">
        <f>"陈小琪"</f>
        <v>陈小琪</v>
      </c>
      <c r="E796" s="8" t="str">
        <f t="shared" si="29"/>
        <v>女</v>
      </c>
      <c r="F796" s="8" t="str">
        <f>"1995-05-19"</f>
        <v>1995-05-19</v>
      </c>
      <c r="G796" s="9"/>
    </row>
    <row r="797" spans="1:7" ht="13.5">
      <c r="A797" s="7">
        <v>795</v>
      </c>
      <c r="B797" s="8" t="str">
        <f>"2341202009121238092669"</f>
        <v>2341202009121238092669</v>
      </c>
      <c r="C797" s="8" t="s">
        <v>8</v>
      </c>
      <c r="D797" s="8" t="str">
        <f>"张莉"</f>
        <v>张莉</v>
      </c>
      <c r="E797" s="8" t="str">
        <f t="shared" si="29"/>
        <v>女</v>
      </c>
      <c r="F797" s="8" t="str">
        <f>"1995-08-14"</f>
        <v>1995-08-14</v>
      </c>
      <c r="G797" s="9"/>
    </row>
    <row r="798" spans="1:7" ht="13.5">
      <c r="A798" s="7">
        <v>796</v>
      </c>
      <c r="B798" s="8" t="str">
        <f>"2341202009121332302678"</f>
        <v>2341202009121332302678</v>
      </c>
      <c r="C798" s="8" t="s">
        <v>8</v>
      </c>
      <c r="D798" s="8" t="str">
        <f>"吴盛"</f>
        <v>吴盛</v>
      </c>
      <c r="E798" s="8" t="str">
        <f>"男"</f>
        <v>男</v>
      </c>
      <c r="F798" s="8" t="str">
        <f>"1998-06-22"</f>
        <v>1998-06-22</v>
      </c>
      <c r="G798" s="9"/>
    </row>
    <row r="799" spans="1:7" ht="13.5">
      <c r="A799" s="7">
        <v>797</v>
      </c>
      <c r="B799" s="8" t="str">
        <f>"2341202009121426552685"</f>
        <v>2341202009121426552685</v>
      </c>
      <c r="C799" s="8" t="s">
        <v>8</v>
      </c>
      <c r="D799" s="8" t="str">
        <f>"吴泳丽"</f>
        <v>吴泳丽</v>
      </c>
      <c r="E799" s="8" t="str">
        <f aca="true" t="shared" si="30" ref="E799:E814">"女"</f>
        <v>女</v>
      </c>
      <c r="F799" s="8" t="str">
        <f>"1998-09-19"</f>
        <v>1998-09-19</v>
      </c>
      <c r="G799" s="9"/>
    </row>
    <row r="800" spans="1:7" ht="13.5">
      <c r="A800" s="7">
        <v>798</v>
      </c>
      <c r="B800" s="8" t="str">
        <f>"2341202009121617582694"</f>
        <v>2341202009121617582694</v>
      </c>
      <c r="C800" s="8" t="s">
        <v>8</v>
      </c>
      <c r="D800" s="8" t="str">
        <f>"李梅"</f>
        <v>李梅</v>
      </c>
      <c r="E800" s="8" t="str">
        <f t="shared" si="30"/>
        <v>女</v>
      </c>
      <c r="F800" s="8" t="str">
        <f>"1992-06-16"</f>
        <v>1992-06-16</v>
      </c>
      <c r="G800" s="9"/>
    </row>
    <row r="801" spans="1:7" ht="13.5">
      <c r="A801" s="7">
        <v>799</v>
      </c>
      <c r="B801" s="8" t="str">
        <f>"2341202009121624232696"</f>
        <v>2341202009121624232696</v>
      </c>
      <c r="C801" s="8" t="s">
        <v>8</v>
      </c>
      <c r="D801" s="8" t="str">
        <f>"张玉嫦"</f>
        <v>张玉嫦</v>
      </c>
      <c r="E801" s="8" t="str">
        <f t="shared" si="30"/>
        <v>女</v>
      </c>
      <c r="F801" s="8" t="str">
        <f>"1986-12-09"</f>
        <v>1986-12-09</v>
      </c>
      <c r="G801" s="9"/>
    </row>
    <row r="802" spans="1:7" ht="13.5">
      <c r="A802" s="7">
        <v>800</v>
      </c>
      <c r="B802" s="8" t="str">
        <f>"2341202009121748352707"</f>
        <v>2341202009121748352707</v>
      </c>
      <c r="C802" s="8" t="s">
        <v>8</v>
      </c>
      <c r="D802" s="8" t="str">
        <f>"曾少玲"</f>
        <v>曾少玲</v>
      </c>
      <c r="E802" s="8" t="str">
        <f t="shared" si="30"/>
        <v>女</v>
      </c>
      <c r="F802" s="8" t="str">
        <f>"1995-12-21"</f>
        <v>1995-12-21</v>
      </c>
      <c r="G802" s="9"/>
    </row>
    <row r="803" spans="1:7" ht="13.5">
      <c r="A803" s="7">
        <v>801</v>
      </c>
      <c r="B803" s="8" t="str">
        <f>"2341202009121801482708"</f>
        <v>2341202009121801482708</v>
      </c>
      <c r="C803" s="8" t="s">
        <v>8</v>
      </c>
      <c r="D803" s="8" t="str">
        <f>"周茹"</f>
        <v>周茹</v>
      </c>
      <c r="E803" s="8" t="str">
        <f t="shared" si="30"/>
        <v>女</v>
      </c>
      <c r="F803" s="8" t="str">
        <f>"1997-06-17"</f>
        <v>1997-06-17</v>
      </c>
      <c r="G803" s="9"/>
    </row>
    <row r="804" spans="1:7" ht="13.5">
      <c r="A804" s="7">
        <v>802</v>
      </c>
      <c r="B804" s="8" t="str">
        <f>"2341202009121903292711"</f>
        <v>2341202009121903292711</v>
      </c>
      <c r="C804" s="8" t="s">
        <v>8</v>
      </c>
      <c r="D804" s="8" t="str">
        <f>"林本平"</f>
        <v>林本平</v>
      </c>
      <c r="E804" s="8" t="str">
        <f t="shared" si="30"/>
        <v>女</v>
      </c>
      <c r="F804" s="8" t="str">
        <f>"1996-08-02"</f>
        <v>1996-08-02</v>
      </c>
      <c r="G804" s="9"/>
    </row>
    <row r="805" spans="1:7" ht="13.5">
      <c r="A805" s="7">
        <v>803</v>
      </c>
      <c r="B805" s="8" t="str">
        <f>"2341202009121942132714"</f>
        <v>2341202009121942132714</v>
      </c>
      <c r="C805" s="8" t="s">
        <v>8</v>
      </c>
      <c r="D805" s="8" t="str">
        <f>"梁杨"</f>
        <v>梁杨</v>
      </c>
      <c r="E805" s="8" t="str">
        <f t="shared" si="30"/>
        <v>女</v>
      </c>
      <c r="F805" s="8" t="str">
        <f>"1997-01-05"</f>
        <v>1997-01-05</v>
      </c>
      <c r="G805" s="9"/>
    </row>
    <row r="806" spans="1:7" ht="13.5">
      <c r="A806" s="7">
        <v>804</v>
      </c>
      <c r="B806" s="8" t="str">
        <f>"2341202009122003052715"</f>
        <v>2341202009122003052715</v>
      </c>
      <c r="C806" s="8" t="s">
        <v>8</v>
      </c>
      <c r="D806" s="8" t="str">
        <f>"王万柳"</f>
        <v>王万柳</v>
      </c>
      <c r="E806" s="8" t="str">
        <f t="shared" si="30"/>
        <v>女</v>
      </c>
      <c r="F806" s="8" t="str">
        <f>"1998-02-27"</f>
        <v>1998-02-27</v>
      </c>
      <c r="G806" s="9"/>
    </row>
    <row r="807" spans="1:7" ht="13.5">
      <c r="A807" s="7">
        <v>805</v>
      </c>
      <c r="B807" s="8" t="str">
        <f>"2341202009122016092718"</f>
        <v>2341202009122016092718</v>
      </c>
      <c r="C807" s="8" t="s">
        <v>8</v>
      </c>
      <c r="D807" s="8" t="str">
        <f>"周让强"</f>
        <v>周让强</v>
      </c>
      <c r="E807" s="8" t="str">
        <f t="shared" si="30"/>
        <v>女</v>
      </c>
      <c r="F807" s="8" t="str">
        <f>"1996-06-16"</f>
        <v>1996-06-16</v>
      </c>
      <c r="G807" s="9"/>
    </row>
    <row r="808" spans="1:7" ht="13.5">
      <c r="A808" s="7">
        <v>806</v>
      </c>
      <c r="B808" s="8" t="str">
        <f>"2341202009122020302720"</f>
        <v>2341202009122020302720</v>
      </c>
      <c r="C808" s="8" t="s">
        <v>8</v>
      </c>
      <c r="D808" s="8" t="str">
        <f>"朱美妃"</f>
        <v>朱美妃</v>
      </c>
      <c r="E808" s="8" t="str">
        <f t="shared" si="30"/>
        <v>女</v>
      </c>
      <c r="F808" s="8" t="str">
        <f>"1994-12-11"</f>
        <v>1994-12-11</v>
      </c>
      <c r="G808" s="9"/>
    </row>
    <row r="809" spans="1:7" ht="13.5">
      <c r="A809" s="7">
        <v>807</v>
      </c>
      <c r="B809" s="8" t="str">
        <f>"2341202009122022322721"</f>
        <v>2341202009122022322721</v>
      </c>
      <c r="C809" s="8" t="s">
        <v>8</v>
      </c>
      <c r="D809" s="8" t="str">
        <f>"容菁"</f>
        <v>容菁</v>
      </c>
      <c r="E809" s="8" t="str">
        <f t="shared" si="30"/>
        <v>女</v>
      </c>
      <c r="F809" s="8" t="str">
        <f>"1990-09-17"</f>
        <v>1990-09-17</v>
      </c>
      <c r="G809" s="9"/>
    </row>
    <row r="810" spans="1:7" ht="13.5">
      <c r="A810" s="7">
        <v>808</v>
      </c>
      <c r="B810" s="8" t="str">
        <f>"2341202009122037242723"</f>
        <v>2341202009122037242723</v>
      </c>
      <c r="C810" s="8" t="s">
        <v>8</v>
      </c>
      <c r="D810" s="8" t="str">
        <f>"邓凯丽"</f>
        <v>邓凯丽</v>
      </c>
      <c r="E810" s="8" t="str">
        <f t="shared" si="30"/>
        <v>女</v>
      </c>
      <c r="F810" s="8" t="str">
        <f>"1993-06-21"</f>
        <v>1993-06-21</v>
      </c>
      <c r="G810" s="9"/>
    </row>
    <row r="811" spans="1:7" ht="13.5">
      <c r="A811" s="7">
        <v>809</v>
      </c>
      <c r="B811" s="8" t="str">
        <f>"2341202009122104302727"</f>
        <v>2341202009122104302727</v>
      </c>
      <c r="C811" s="8" t="s">
        <v>8</v>
      </c>
      <c r="D811" s="8" t="str">
        <f>"罗娇"</f>
        <v>罗娇</v>
      </c>
      <c r="E811" s="8" t="str">
        <f t="shared" si="30"/>
        <v>女</v>
      </c>
      <c r="F811" s="8" t="str">
        <f>"1994-12-15"</f>
        <v>1994-12-15</v>
      </c>
      <c r="G811" s="9"/>
    </row>
    <row r="812" spans="1:7" ht="13.5">
      <c r="A812" s="7">
        <v>810</v>
      </c>
      <c r="B812" s="8" t="str">
        <f>"2341202009122115262729"</f>
        <v>2341202009122115262729</v>
      </c>
      <c r="C812" s="8" t="s">
        <v>8</v>
      </c>
      <c r="D812" s="8" t="str">
        <f>"张曼"</f>
        <v>张曼</v>
      </c>
      <c r="E812" s="8" t="str">
        <f t="shared" si="30"/>
        <v>女</v>
      </c>
      <c r="F812" s="8" t="str">
        <f>"1995-07-08"</f>
        <v>1995-07-08</v>
      </c>
      <c r="G812" s="9"/>
    </row>
    <row r="813" spans="1:7" ht="13.5">
      <c r="A813" s="7">
        <v>811</v>
      </c>
      <c r="B813" s="8" t="str">
        <f>"2341202009122119432730"</f>
        <v>2341202009122119432730</v>
      </c>
      <c r="C813" s="8" t="s">
        <v>8</v>
      </c>
      <c r="D813" s="8" t="str">
        <f>"王丹妮"</f>
        <v>王丹妮</v>
      </c>
      <c r="E813" s="8" t="str">
        <f t="shared" si="30"/>
        <v>女</v>
      </c>
      <c r="F813" s="8" t="str">
        <f>"1997-02-12"</f>
        <v>1997-02-12</v>
      </c>
      <c r="G813" s="9"/>
    </row>
    <row r="814" spans="1:7" ht="13.5">
      <c r="A814" s="7">
        <v>812</v>
      </c>
      <c r="B814" s="8" t="str">
        <f>"2341202009122204412734"</f>
        <v>2341202009122204412734</v>
      </c>
      <c r="C814" s="8" t="s">
        <v>8</v>
      </c>
      <c r="D814" s="8" t="str">
        <f>"黄永芳"</f>
        <v>黄永芳</v>
      </c>
      <c r="E814" s="8" t="str">
        <f t="shared" si="30"/>
        <v>女</v>
      </c>
      <c r="F814" s="8" t="str">
        <f>"1995-03-12"</f>
        <v>1995-03-12</v>
      </c>
      <c r="G814" s="9"/>
    </row>
    <row r="815" spans="1:7" ht="13.5">
      <c r="A815" s="7">
        <v>813</v>
      </c>
      <c r="B815" s="8" t="str">
        <f>"2341202009122223292738"</f>
        <v>2341202009122223292738</v>
      </c>
      <c r="C815" s="8" t="s">
        <v>8</v>
      </c>
      <c r="D815" s="8" t="str">
        <f>"张艺"</f>
        <v>张艺</v>
      </c>
      <c r="E815" s="8" t="str">
        <f>"男"</f>
        <v>男</v>
      </c>
      <c r="F815" s="8" t="str">
        <f>"1995-01-26"</f>
        <v>1995-01-26</v>
      </c>
      <c r="G815" s="9"/>
    </row>
    <row r="816" spans="1:7" ht="13.5">
      <c r="A816" s="7">
        <v>814</v>
      </c>
      <c r="B816" s="8" t="str">
        <f>"2341202009122226352739"</f>
        <v>2341202009122226352739</v>
      </c>
      <c r="C816" s="8" t="s">
        <v>8</v>
      </c>
      <c r="D816" s="8" t="str">
        <f>"陈秀珍"</f>
        <v>陈秀珍</v>
      </c>
      <c r="E816" s="8" t="str">
        <f aca="true" t="shared" si="31" ref="E816:E834">"女"</f>
        <v>女</v>
      </c>
      <c r="F816" s="8" t="str">
        <f>"1992-08-15"</f>
        <v>1992-08-15</v>
      </c>
      <c r="G816" s="9"/>
    </row>
    <row r="817" spans="1:7" ht="13.5">
      <c r="A817" s="7">
        <v>815</v>
      </c>
      <c r="B817" s="8" t="str">
        <f>"2341202009122239582742"</f>
        <v>2341202009122239582742</v>
      </c>
      <c r="C817" s="8" t="s">
        <v>8</v>
      </c>
      <c r="D817" s="8" t="str">
        <f>"赵民英"</f>
        <v>赵民英</v>
      </c>
      <c r="E817" s="8" t="str">
        <f t="shared" si="31"/>
        <v>女</v>
      </c>
      <c r="F817" s="8" t="str">
        <f>"1993-07-06"</f>
        <v>1993-07-06</v>
      </c>
      <c r="G817" s="9"/>
    </row>
    <row r="818" spans="1:7" ht="13.5">
      <c r="A818" s="7">
        <v>816</v>
      </c>
      <c r="B818" s="8" t="str">
        <f>"2341202009122247002743"</f>
        <v>2341202009122247002743</v>
      </c>
      <c r="C818" s="8" t="s">
        <v>8</v>
      </c>
      <c r="D818" s="8" t="str">
        <f>"韩冬丽"</f>
        <v>韩冬丽</v>
      </c>
      <c r="E818" s="8" t="str">
        <f t="shared" si="31"/>
        <v>女</v>
      </c>
      <c r="F818" s="8" t="str">
        <f>"1995-08-09"</f>
        <v>1995-08-09</v>
      </c>
      <c r="G818" s="9"/>
    </row>
    <row r="819" spans="1:7" ht="13.5">
      <c r="A819" s="7">
        <v>817</v>
      </c>
      <c r="B819" s="8" t="str">
        <f>"2341202009122253372745"</f>
        <v>2341202009122253372745</v>
      </c>
      <c r="C819" s="8" t="s">
        <v>8</v>
      </c>
      <c r="D819" s="8" t="str">
        <f>"陈姝妍"</f>
        <v>陈姝妍</v>
      </c>
      <c r="E819" s="8" t="str">
        <f t="shared" si="31"/>
        <v>女</v>
      </c>
      <c r="F819" s="8" t="str">
        <f>"1996-11-09"</f>
        <v>1996-11-09</v>
      </c>
      <c r="G819" s="9"/>
    </row>
    <row r="820" spans="1:7" ht="13.5">
      <c r="A820" s="7">
        <v>818</v>
      </c>
      <c r="B820" s="8" t="str">
        <f>"2341202009122255082747"</f>
        <v>2341202009122255082747</v>
      </c>
      <c r="C820" s="8" t="s">
        <v>8</v>
      </c>
      <c r="D820" s="8" t="str">
        <f>"吉才燕"</f>
        <v>吉才燕</v>
      </c>
      <c r="E820" s="8" t="str">
        <f t="shared" si="31"/>
        <v>女</v>
      </c>
      <c r="F820" s="8" t="str">
        <f>"1997-04-16"</f>
        <v>1997-04-16</v>
      </c>
      <c r="G820" s="9"/>
    </row>
    <row r="821" spans="1:7" ht="13.5">
      <c r="A821" s="7">
        <v>819</v>
      </c>
      <c r="B821" s="8" t="str">
        <f>"2341202009122349442750"</f>
        <v>2341202009122349442750</v>
      </c>
      <c r="C821" s="8" t="s">
        <v>8</v>
      </c>
      <c r="D821" s="8" t="str">
        <f>"李宜健"</f>
        <v>李宜健</v>
      </c>
      <c r="E821" s="8" t="str">
        <f t="shared" si="31"/>
        <v>女</v>
      </c>
      <c r="F821" s="8" t="str">
        <f>"1992-05-04"</f>
        <v>1992-05-04</v>
      </c>
      <c r="G821" s="9"/>
    </row>
    <row r="822" spans="1:7" ht="13.5">
      <c r="A822" s="7">
        <v>820</v>
      </c>
      <c r="B822" s="8" t="str">
        <f>"2341202009130125082755"</f>
        <v>2341202009130125082755</v>
      </c>
      <c r="C822" s="8" t="s">
        <v>8</v>
      </c>
      <c r="D822" s="8" t="str">
        <f>"李子莹"</f>
        <v>李子莹</v>
      </c>
      <c r="E822" s="8" t="str">
        <f t="shared" si="31"/>
        <v>女</v>
      </c>
      <c r="F822" s="8" t="str">
        <f>"1990-05-17"</f>
        <v>1990-05-17</v>
      </c>
      <c r="G822" s="9"/>
    </row>
    <row r="823" spans="1:7" ht="13.5">
      <c r="A823" s="7">
        <v>821</v>
      </c>
      <c r="B823" s="8" t="str">
        <f>"2341202009130549522756"</f>
        <v>2341202009130549522756</v>
      </c>
      <c r="C823" s="8" t="s">
        <v>8</v>
      </c>
      <c r="D823" s="8" t="str">
        <f>"王子芊"</f>
        <v>王子芊</v>
      </c>
      <c r="E823" s="8" t="str">
        <f t="shared" si="31"/>
        <v>女</v>
      </c>
      <c r="F823" s="8" t="str">
        <f>"1999-07-28"</f>
        <v>1999-07-28</v>
      </c>
      <c r="G823" s="9"/>
    </row>
    <row r="824" spans="1:7" ht="13.5">
      <c r="A824" s="7">
        <v>822</v>
      </c>
      <c r="B824" s="8" t="str">
        <f>"2341202009130838192758"</f>
        <v>2341202009130838192758</v>
      </c>
      <c r="C824" s="8" t="s">
        <v>8</v>
      </c>
      <c r="D824" s="8" t="str">
        <f>"吴可姣"</f>
        <v>吴可姣</v>
      </c>
      <c r="E824" s="8" t="str">
        <f t="shared" si="31"/>
        <v>女</v>
      </c>
      <c r="F824" s="8" t="str">
        <f>"1989-11-03"</f>
        <v>1989-11-03</v>
      </c>
      <c r="G824" s="9"/>
    </row>
    <row r="825" spans="1:7" ht="13.5">
      <c r="A825" s="7">
        <v>823</v>
      </c>
      <c r="B825" s="8" t="str">
        <f>"2341202009130845002759"</f>
        <v>2341202009130845002759</v>
      </c>
      <c r="C825" s="8" t="s">
        <v>8</v>
      </c>
      <c r="D825" s="8" t="str">
        <f>"秦小艳"</f>
        <v>秦小艳</v>
      </c>
      <c r="E825" s="8" t="str">
        <f t="shared" si="31"/>
        <v>女</v>
      </c>
      <c r="F825" s="8" t="str">
        <f>"1987-01-26"</f>
        <v>1987-01-26</v>
      </c>
      <c r="G825" s="9"/>
    </row>
    <row r="826" spans="1:7" ht="13.5">
      <c r="A826" s="7">
        <v>824</v>
      </c>
      <c r="B826" s="8" t="str">
        <f>"2341202009131030582771"</f>
        <v>2341202009131030582771</v>
      </c>
      <c r="C826" s="8" t="s">
        <v>8</v>
      </c>
      <c r="D826" s="8" t="str">
        <f>"李亚楠"</f>
        <v>李亚楠</v>
      </c>
      <c r="E826" s="8" t="str">
        <f t="shared" si="31"/>
        <v>女</v>
      </c>
      <c r="F826" s="8" t="str">
        <f>"1993-03-17"</f>
        <v>1993-03-17</v>
      </c>
      <c r="G826" s="9"/>
    </row>
    <row r="827" spans="1:7" ht="13.5">
      <c r="A827" s="7">
        <v>825</v>
      </c>
      <c r="B827" s="8" t="str">
        <f>"2341202009131033462772"</f>
        <v>2341202009131033462772</v>
      </c>
      <c r="C827" s="8" t="s">
        <v>8</v>
      </c>
      <c r="D827" s="8" t="str">
        <f>"容镜希"</f>
        <v>容镜希</v>
      </c>
      <c r="E827" s="8" t="str">
        <f t="shared" si="31"/>
        <v>女</v>
      </c>
      <c r="F827" s="8" t="str">
        <f>"1998-10-30"</f>
        <v>1998-10-30</v>
      </c>
      <c r="G827" s="9"/>
    </row>
    <row r="828" spans="1:7" ht="13.5">
      <c r="A828" s="7">
        <v>826</v>
      </c>
      <c r="B828" s="8" t="str">
        <f>"2341202009131049182778"</f>
        <v>2341202009131049182778</v>
      </c>
      <c r="C828" s="8" t="s">
        <v>8</v>
      </c>
      <c r="D828" s="8" t="str">
        <f>"覃莉闵"</f>
        <v>覃莉闵</v>
      </c>
      <c r="E828" s="8" t="str">
        <f t="shared" si="31"/>
        <v>女</v>
      </c>
      <c r="F828" s="8" t="str">
        <f>"1996-02-07"</f>
        <v>1996-02-07</v>
      </c>
      <c r="G828" s="9"/>
    </row>
    <row r="829" spans="1:7" ht="13.5">
      <c r="A829" s="7">
        <v>827</v>
      </c>
      <c r="B829" s="8" t="str">
        <f>"2341202009131126502785"</f>
        <v>2341202009131126502785</v>
      </c>
      <c r="C829" s="8" t="s">
        <v>8</v>
      </c>
      <c r="D829" s="8" t="str">
        <f>"陈飞臻"</f>
        <v>陈飞臻</v>
      </c>
      <c r="E829" s="8" t="str">
        <f t="shared" si="31"/>
        <v>女</v>
      </c>
      <c r="F829" s="8" t="str">
        <f>"1993-08-06"</f>
        <v>1993-08-06</v>
      </c>
      <c r="G829" s="9"/>
    </row>
    <row r="830" spans="1:7" ht="13.5">
      <c r="A830" s="7">
        <v>828</v>
      </c>
      <c r="B830" s="8" t="str">
        <f>"2341202009131147012788"</f>
        <v>2341202009131147012788</v>
      </c>
      <c r="C830" s="8" t="s">
        <v>8</v>
      </c>
      <c r="D830" s="8" t="str">
        <f>"姚翠菁"</f>
        <v>姚翠菁</v>
      </c>
      <c r="E830" s="8" t="str">
        <f t="shared" si="31"/>
        <v>女</v>
      </c>
      <c r="F830" s="8" t="str">
        <f>"1996-04-25"</f>
        <v>1996-04-25</v>
      </c>
      <c r="G830" s="9"/>
    </row>
    <row r="831" spans="1:7" ht="13.5">
      <c r="A831" s="7">
        <v>829</v>
      </c>
      <c r="B831" s="8" t="str">
        <f>"2341202009131158042790"</f>
        <v>2341202009131158042790</v>
      </c>
      <c r="C831" s="8" t="s">
        <v>8</v>
      </c>
      <c r="D831" s="8" t="str">
        <f>"陈思羽"</f>
        <v>陈思羽</v>
      </c>
      <c r="E831" s="8" t="str">
        <f t="shared" si="31"/>
        <v>女</v>
      </c>
      <c r="F831" s="8" t="str">
        <f>"1996-02-11"</f>
        <v>1996-02-11</v>
      </c>
      <c r="G831" s="9"/>
    </row>
    <row r="832" spans="1:7" ht="13.5">
      <c r="A832" s="7">
        <v>830</v>
      </c>
      <c r="B832" s="8" t="str">
        <f>"2341202009131216152793"</f>
        <v>2341202009131216152793</v>
      </c>
      <c r="C832" s="8" t="s">
        <v>8</v>
      </c>
      <c r="D832" s="8" t="str">
        <f>"林圆好"</f>
        <v>林圆好</v>
      </c>
      <c r="E832" s="8" t="str">
        <f t="shared" si="31"/>
        <v>女</v>
      </c>
      <c r="F832" s="8" t="str">
        <f>"1992-07-28"</f>
        <v>1992-07-28</v>
      </c>
      <c r="G832" s="9"/>
    </row>
    <row r="833" spans="1:7" ht="13.5">
      <c r="A833" s="7">
        <v>831</v>
      </c>
      <c r="B833" s="8" t="str">
        <f>"2341202009131221252794"</f>
        <v>2341202009131221252794</v>
      </c>
      <c r="C833" s="8" t="s">
        <v>8</v>
      </c>
      <c r="D833" s="8" t="str">
        <f>"王婷婷"</f>
        <v>王婷婷</v>
      </c>
      <c r="E833" s="8" t="str">
        <f t="shared" si="31"/>
        <v>女</v>
      </c>
      <c r="F833" s="8" t="str">
        <f>"1997-10-04"</f>
        <v>1997-10-04</v>
      </c>
      <c r="G833" s="9"/>
    </row>
    <row r="834" spans="1:7" ht="13.5">
      <c r="A834" s="7">
        <v>832</v>
      </c>
      <c r="B834" s="8" t="str">
        <f>"2341202009131237132795"</f>
        <v>2341202009131237132795</v>
      </c>
      <c r="C834" s="8" t="s">
        <v>8</v>
      </c>
      <c r="D834" s="8" t="str">
        <f>"陈燕清"</f>
        <v>陈燕清</v>
      </c>
      <c r="E834" s="8" t="str">
        <f t="shared" si="31"/>
        <v>女</v>
      </c>
      <c r="F834" s="8" t="str">
        <f>"1994-05-27"</f>
        <v>1994-05-27</v>
      </c>
      <c r="G834" s="9"/>
    </row>
    <row r="835" spans="1:7" ht="13.5">
      <c r="A835" s="7">
        <v>833</v>
      </c>
      <c r="B835" s="8" t="str">
        <f>"2341202009131246552797"</f>
        <v>2341202009131246552797</v>
      </c>
      <c r="C835" s="8" t="s">
        <v>8</v>
      </c>
      <c r="D835" s="8" t="str">
        <f>"蔡於良"</f>
        <v>蔡於良</v>
      </c>
      <c r="E835" s="8" t="str">
        <f>"男"</f>
        <v>男</v>
      </c>
      <c r="F835" s="8" t="str">
        <f>"1993-12-05"</f>
        <v>1993-12-05</v>
      </c>
      <c r="G835" s="9"/>
    </row>
    <row r="836" spans="1:7" ht="13.5">
      <c r="A836" s="7">
        <v>834</v>
      </c>
      <c r="B836" s="8" t="str">
        <f>"2341202009131319152803"</f>
        <v>2341202009131319152803</v>
      </c>
      <c r="C836" s="8" t="s">
        <v>8</v>
      </c>
      <c r="D836" s="8" t="str">
        <f>"王烁茜"</f>
        <v>王烁茜</v>
      </c>
      <c r="E836" s="8" t="str">
        <f aca="true" t="shared" si="32" ref="E836:E877">"女"</f>
        <v>女</v>
      </c>
      <c r="F836" s="8" t="str">
        <f>"1996-06-09"</f>
        <v>1996-06-09</v>
      </c>
      <c r="G836" s="9"/>
    </row>
    <row r="837" spans="1:7" ht="13.5">
      <c r="A837" s="7">
        <v>835</v>
      </c>
      <c r="B837" s="8" t="str">
        <f>"2341202009131338342807"</f>
        <v>2341202009131338342807</v>
      </c>
      <c r="C837" s="8" t="s">
        <v>8</v>
      </c>
      <c r="D837" s="8" t="str">
        <f>"张蕙"</f>
        <v>张蕙</v>
      </c>
      <c r="E837" s="8" t="str">
        <f t="shared" si="32"/>
        <v>女</v>
      </c>
      <c r="F837" s="8" t="str">
        <f>"1993-07-09"</f>
        <v>1993-07-09</v>
      </c>
      <c r="G837" s="9"/>
    </row>
    <row r="838" spans="1:7" ht="13.5">
      <c r="A838" s="7">
        <v>836</v>
      </c>
      <c r="B838" s="8" t="str">
        <f>"2341202009131346122809"</f>
        <v>2341202009131346122809</v>
      </c>
      <c r="C838" s="8" t="s">
        <v>8</v>
      </c>
      <c r="D838" s="8" t="str">
        <f>"邱小慧"</f>
        <v>邱小慧</v>
      </c>
      <c r="E838" s="8" t="str">
        <f t="shared" si="32"/>
        <v>女</v>
      </c>
      <c r="F838" s="8" t="str">
        <f>"1993-05-28"</f>
        <v>1993-05-28</v>
      </c>
      <c r="G838" s="9"/>
    </row>
    <row r="839" spans="1:7" ht="13.5">
      <c r="A839" s="7">
        <v>837</v>
      </c>
      <c r="B839" s="8" t="str">
        <f>"2341202009131347382810"</f>
        <v>2341202009131347382810</v>
      </c>
      <c r="C839" s="8" t="s">
        <v>8</v>
      </c>
      <c r="D839" s="8" t="str">
        <f>"肖秋秋"</f>
        <v>肖秋秋</v>
      </c>
      <c r="E839" s="8" t="str">
        <f t="shared" si="32"/>
        <v>女</v>
      </c>
      <c r="F839" s="8" t="str">
        <f>"1987-10-17"</f>
        <v>1987-10-17</v>
      </c>
      <c r="G839" s="9"/>
    </row>
    <row r="840" spans="1:7" ht="13.5">
      <c r="A840" s="7">
        <v>838</v>
      </c>
      <c r="B840" s="8" t="str">
        <f>"2341202009131358012811"</f>
        <v>2341202009131358012811</v>
      </c>
      <c r="C840" s="8" t="s">
        <v>8</v>
      </c>
      <c r="D840" s="8" t="str">
        <f>"马春晖"</f>
        <v>马春晖</v>
      </c>
      <c r="E840" s="8" t="str">
        <f t="shared" si="32"/>
        <v>女</v>
      </c>
      <c r="F840" s="8" t="str">
        <f>"1994-04-29"</f>
        <v>1994-04-29</v>
      </c>
      <c r="G840" s="9"/>
    </row>
    <row r="841" spans="1:7" ht="13.5">
      <c r="A841" s="7">
        <v>839</v>
      </c>
      <c r="B841" s="8" t="str">
        <f>"2341202009131408362812"</f>
        <v>2341202009131408362812</v>
      </c>
      <c r="C841" s="8" t="s">
        <v>8</v>
      </c>
      <c r="D841" s="8" t="str">
        <f>"李蔓绮"</f>
        <v>李蔓绮</v>
      </c>
      <c r="E841" s="8" t="str">
        <f t="shared" si="32"/>
        <v>女</v>
      </c>
      <c r="F841" s="8" t="str">
        <f>"1993-08-16"</f>
        <v>1993-08-16</v>
      </c>
      <c r="G841" s="9"/>
    </row>
    <row r="842" spans="1:7" ht="13.5">
      <c r="A842" s="7">
        <v>840</v>
      </c>
      <c r="B842" s="8" t="str">
        <f>"2341202009131430262816"</f>
        <v>2341202009131430262816</v>
      </c>
      <c r="C842" s="8" t="s">
        <v>8</v>
      </c>
      <c r="D842" s="8" t="str">
        <f>"黎世湄"</f>
        <v>黎世湄</v>
      </c>
      <c r="E842" s="8" t="str">
        <f t="shared" si="32"/>
        <v>女</v>
      </c>
      <c r="F842" s="8" t="str">
        <f>"1998-05-21"</f>
        <v>1998-05-21</v>
      </c>
      <c r="G842" s="9"/>
    </row>
    <row r="843" spans="1:7" ht="13.5">
      <c r="A843" s="7">
        <v>841</v>
      </c>
      <c r="B843" s="8" t="str">
        <f>"2341202009131447272820"</f>
        <v>2341202009131447272820</v>
      </c>
      <c r="C843" s="8" t="s">
        <v>8</v>
      </c>
      <c r="D843" s="8" t="str">
        <f>"丛明慧"</f>
        <v>丛明慧</v>
      </c>
      <c r="E843" s="8" t="str">
        <f t="shared" si="32"/>
        <v>女</v>
      </c>
      <c r="F843" s="8" t="str">
        <f>"1997-02-17"</f>
        <v>1997-02-17</v>
      </c>
      <c r="G843" s="9"/>
    </row>
    <row r="844" spans="1:7" ht="13.5">
      <c r="A844" s="7">
        <v>842</v>
      </c>
      <c r="B844" s="8" t="str">
        <f>"2341202009131516062823"</f>
        <v>2341202009131516062823</v>
      </c>
      <c r="C844" s="8" t="s">
        <v>8</v>
      </c>
      <c r="D844" s="8" t="str">
        <f>"吉训丽"</f>
        <v>吉训丽</v>
      </c>
      <c r="E844" s="8" t="str">
        <f t="shared" si="32"/>
        <v>女</v>
      </c>
      <c r="F844" s="8" t="str">
        <f>"1994-06-08"</f>
        <v>1994-06-08</v>
      </c>
      <c r="G844" s="9"/>
    </row>
    <row r="845" spans="1:7" ht="13.5">
      <c r="A845" s="7">
        <v>843</v>
      </c>
      <c r="B845" s="8" t="str">
        <f>"2341202009131536402829"</f>
        <v>2341202009131536402829</v>
      </c>
      <c r="C845" s="8" t="s">
        <v>8</v>
      </c>
      <c r="D845" s="8" t="str">
        <f>"王楚婷"</f>
        <v>王楚婷</v>
      </c>
      <c r="E845" s="8" t="str">
        <f t="shared" si="32"/>
        <v>女</v>
      </c>
      <c r="F845" s="8" t="str">
        <f>"1998-09-23"</f>
        <v>1998-09-23</v>
      </c>
      <c r="G845" s="9"/>
    </row>
    <row r="846" spans="1:7" ht="13.5">
      <c r="A846" s="7">
        <v>844</v>
      </c>
      <c r="B846" s="8" t="str">
        <f>"2341202009131546302831"</f>
        <v>2341202009131546302831</v>
      </c>
      <c r="C846" s="8" t="s">
        <v>8</v>
      </c>
      <c r="D846" s="8" t="str">
        <f>"吴惠明"</f>
        <v>吴惠明</v>
      </c>
      <c r="E846" s="8" t="str">
        <f t="shared" si="32"/>
        <v>女</v>
      </c>
      <c r="F846" s="8" t="str">
        <f>"1994-09-23"</f>
        <v>1994-09-23</v>
      </c>
      <c r="G846" s="9"/>
    </row>
    <row r="847" spans="1:7" ht="13.5">
      <c r="A847" s="7">
        <v>845</v>
      </c>
      <c r="B847" s="8" t="str">
        <f>"2341202009131552382832"</f>
        <v>2341202009131552382832</v>
      </c>
      <c r="C847" s="8" t="s">
        <v>8</v>
      </c>
      <c r="D847" s="8" t="str">
        <f>"裴史玲"</f>
        <v>裴史玲</v>
      </c>
      <c r="E847" s="8" t="str">
        <f t="shared" si="32"/>
        <v>女</v>
      </c>
      <c r="F847" s="8" t="str">
        <f>"1996-10-07"</f>
        <v>1996-10-07</v>
      </c>
      <c r="G847" s="9"/>
    </row>
    <row r="848" spans="1:7" ht="13.5">
      <c r="A848" s="7">
        <v>846</v>
      </c>
      <c r="B848" s="8" t="str">
        <f>"2341202009131625582835"</f>
        <v>2341202009131625582835</v>
      </c>
      <c r="C848" s="8" t="s">
        <v>8</v>
      </c>
      <c r="D848" s="8" t="str">
        <f>"陈妍婷"</f>
        <v>陈妍婷</v>
      </c>
      <c r="E848" s="8" t="str">
        <f t="shared" si="32"/>
        <v>女</v>
      </c>
      <c r="F848" s="8" t="str">
        <f>"1998-09-14"</f>
        <v>1998-09-14</v>
      </c>
      <c r="G848" s="9"/>
    </row>
    <row r="849" spans="1:7" ht="13.5">
      <c r="A849" s="7">
        <v>847</v>
      </c>
      <c r="B849" s="8" t="str">
        <f>"2341202009131628442836"</f>
        <v>2341202009131628442836</v>
      </c>
      <c r="C849" s="8" t="s">
        <v>8</v>
      </c>
      <c r="D849" s="8" t="str">
        <f>"林芳洪"</f>
        <v>林芳洪</v>
      </c>
      <c r="E849" s="8" t="str">
        <f t="shared" si="32"/>
        <v>女</v>
      </c>
      <c r="F849" s="8" t="str">
        <f>"1997-03-13"</f>
        <v>1997-03-13</v>
      </c>
      <c r="G849" s="9"/>
    </row>
    <row r="850" spans="1:7" ht="13.5">
      <c r="A850" s="7">
        <v>848</v>
      </c>
      <c r="B850" s="8" t="str">
        <f>"2341202009131640542838"</f>
        <v>2341202009131640542838</v>
      </c>
      <c r="C850" s="8" t="s">
        <v>8</v>
      </c>
      <c r="D850" s="8" t="str">
        <f>"许碧丹"</f>
        <v>许碧丹</v>
      </c>
      <c r="E850" s="8" t="str">
        <f t="shared" si="32"/>
        <v>女</v>
      </c>
      <c r="F850" s="8" t="str">
        <f>"1998-01-12"</f>
        <v>1998-01-12</v>
      </c>
      <c r="G850" s="9"/>
    </row>
    <row r="851" spans="1:7" ht="13.5">
      <c r="A851" s="7">
        <v>849</v>
      </c>
      <c r="B851" s="8" t="str">
        <f>"2341202009131655472840"</f>
        <v>2341202009131655472840</v>
      </c>
      <c r="C851" s="8" t="s">
        <v>8</v>
      </c>
      <c r="D851" s="8" t="str">
        <f>"云凤娜"</f>
        <v>云凤娜</v>
      </c>
      <c r="E851" s="8" t="str">
        <f t="shared" si="32"/>
        <v>女</v>
      </c>
      <c r="F851" s="8" t="str">
        <f>"1994-11-16"</f>
        <v>1994-11-16</v>
      </c>
      <c r="G851" s="9"/>
    </row>
    <row r="852" spans="1:7" ht="13.5">
      <c r="A852" s="7">
        <v>850</v>
      </c>
      <c r="B852" s="8" t="str">
        <f>"2341202009131738242849"</f>
        <v>2341202009131738242849</v>
      </c>
      <c r="C852" s="8" t="s">
        <v>8</v>
      </c>
      <c r="D852" s="8" t="str">
        <f>"符春斐"</f>
        <v>符春斐</v>
      </c>
      <c r="E852" s="8" t="str">
        <f t="shared" si="32"/>
        <v>女</v>
      </c>
      <c r="F852" s="8" t="str">
        <f>"1995-05-24"</f>
        <v>1995-05-24</v>
      </c>
      <c r="G852" s="9"/>
    </row>
    <row r="853" spans="1:7" ht="13.5">
      <c r="A853" s="7">
        <v>851</v>
      </c>
      <c r="B853" s="8" t="str">
        <f>"2341202009131746572850"</f>
        <v>2341202009131746572850</v>
      </c>
      <c r="C853" s="8" t="s">
        <v>8</v>
      </c>
      <c r="D853" s="8" t="str">
        <f>"何思思"</f>
        <v>何思思</v>
      </c>
      <c r="E853" s="8" t="str">
        <f t="shared" si="32"/>
        <v>女</v>
      </c>
      <c r="F853" s="8" t="str">
        <f>"1995-03-24"</f>
        <v>1995-03-24</v>
      </c>
      <c r="G853" s="9"/>
    </row>
    <row r="854" spans="1:7" ht="13.5">
      <c r="A854" s="7">
        <v>852</v>
      </c>
      <c r="B854" s="8" t="str">
        <f>"2341202009131810052853"</f>
        <v>2341202009131810052853</v>
      </c>
      <c r="C854" s="8" t="s">
        <v>8</v>
      </c>
      <c r="D854" s="8" t="str">
        <f>"林尹一"</f>
        <v>林尹一</v>
      </c>
      <c r="E854" s="8" t="str">
        <f t="shared" si="32"/>
        <v>女</v>
      </c>
      <c r="F854" s="8" t="str">
        <f>"1997-02-14"</f>
        <v>1997-02-14</v>
      </c>
      <c r="G854" s="9"/>
    </row>
    <row r="855" spans="1:7" ht="13.5">
      <c r="A855" s="7">
        <v>853</v>
      </c>
      <c r="B855" s="8" t="str">
        <f>"2341202009131829542855"</f>
        <v>2341202009131829542855</v>
      </c>
      <c r="C855" s="8" t="s">
        <v>8</v>
      </c>
      <c r="D855" s="8" t="str">
        <f>"张强"</f>
        <v>张强</v>
      </c>
      <c r="E855" s="8" t="str">
        <f t="shared" si="32"/>
        <v>女</v>
      </c>
      <c r="F855" s="8" t="str">
        <f>"1984-12-24"</f>
        <v>1984-12-24</v>
      </c>
      <c r="G855" s="9"/>
    </row>
    <row r="856" spans="1:7" ht="13.5">
      <c r="A856" s="7">
        <v>854</v>
      </c>
      <c r="B856" s="8" t="str">
        <f>"2341202009131833082857"</f>
        <v>2341202009131833082857</v>
      </c>
      <c r="C856" s="8" t="s">
        <v>8</v>
      </c>
      <c r="D856" s="8" t="str">
        <f>"刘梦柯"</f>
        <v>刘梦柯</v>
      </c>
      <c r="E856" s="8" t="str">
        <f t="shared" si="32"/>
        <v>女</v>
      </c>
      <c r="F856" s="8" t="str">
        <f>"1992-11-09"</f>
        <v>1992-11-09</v>
      </c>
      <c r="G856" s="9"/>
    </row>
    <row r="857" spans="1:7" ht="13.5">
      <c r="A857" s="7">
        <v>855</v>
      </c>
      <c r="B857" s="8" t="str">
        <f>"2341202009131901302863"</f>
        <v>2341202009131901302863</v>
      </c>
      <c r="C857" s="8" t="s">
        <v>8</v>
      </c>
      <c r="D857" s="8" t="str">
        <f>"裴芳芳"</f>
        <v>裴芳芳</v>
      </c>
      <c r="E857" s="8" t="str">
        <f t="shared" si="32"/>
        <v>女</v>
      </c>
      <c r="F857" s="8" t="str">
        <f>"1998-09-12"</f>
        <v>1998-09-12</v>
      </c>
      <c r="G857" s="9"/>
    </row>
    <row r="858" spans="1:7" ht="13.5">
      <c r="A858" s="7">
        <v>856</v>
      </c>
      <c r="B858" s="8" t="str">
        <f>"2341202009131910122868"</f>
        <v>2341202009131910122868</v>
      </c>
      <c r="C858" s="8" t="s">
        <v>8</v>
      </c>
      <c r="D858" s="8" t="str">
        <f>"林晓芬"</f>
        <v>林晓芬</v>
      </c>
      <c r="E858" s="8" t="str">
        <f t="shared" si="32"/>
        <v>女</v>
      </c>
      <c r="F858" s="8" t="str">
        <f>"1994-12-09"</f>
        <v>1994-12-09</v>
      </c>
      <c r="G858" s="9"/>
    </row>
    <row r="859" spans="1:7" ht="13.5">
      <c r="A859" s="7">
        <v>857</v>
      </c>
      <c r="B859" s="8" t="str">
        <f>"2341202009131919162871"</f>
        <v>2341202009131919162871</v>
      </c>
      <c r="C859" s="8" t="s">
        <v>8</v>
      </c>
      <c r="D859" s="8" t="str">
        <f>"陈曼虹"</f>
        <v>陈曼虹</v>
      </c>
      <c r="E859" s="8" t="str">
        <f t="shared" si="32"/>
        <v>女</v>
      </c>
      <c r="F859" s="8" t="str">
        <f>"1986-06-11"</f>
        <v>1986-06-11</v>
      </c>
      <c r="G859" s="9"/>
    </row>
    <row r="860" spans="1:7" ht="13.5">
      <c r="A860" s="7">
        <v>858</v>
      </c>
      <c r="B860" s="8" t="str">
        <f>"2341202009131932112877"</f>
        <v>2341202009131932112877</v>
      </c>
      <c r="C860" s="8" t="s">
        <v>8</v>
      </c>
      <c r="D860" s="8" t="str">
        <f>"王素南"</f>
        <v>王素南</v>
      </c>
      <c r="E860" s="8" t="str">
        <f t="shared" si="32"/>
        <v>女</v>
      </c>
      <c r="F860" s="8" t="str">
        <f>"1986-10-09"</f>
        <v>1986-10-09</v>
      </c>
      <c r="G860" s="9"/>
    </row>
    <row r="861" spans="1:7" ht="13.5">
      <c r="A861" s="7">
        <v>859</v>
      </c>
      <c r="B861" s="8" t="str">
        <f>"2341202009131942102879"</f>
        <v>2341202009131942102879</v>
      </c>
      <c r="C861" s="8" t="s">
        <v>8</v>
      </c>
      <c r="D861" s="8" t="str">
        <f>"陈理雲"</f>
        <v>陈理雲</v>
      </c>
      <c r="E861" s="8" t="str">
        <f t="shared" si="32"/>
        <v>女</v>
      </c>
      <c r="F861" s="8" t="str">
        <f>"1992-07-29"</f>
        <v>1992-07-29</v>
      </c>
      <c r="G861" s="9"/>
    </row>
    <row r="862" spans="1:7" ht="13.5">
      <c r="A862" s="7">
        <v>860</v>
      </c>
      <c r="B862" s="8" t="str">
        <f>"2341202009131947002882"</f>
        <v>2341202009131947002882</v>
      </c>
      <c r="C862" s="8" t="s">
        <v>8</v>
      </c>
      <c r="D862" s="8" t="str">
        <f>"林钰"</f>
        <v>林钰</v>
      </c>
      <c r="E862" s="8" t="str">
        <f t="shared" si="32"/>
        <v>女</v>
      </c>
      <c r="F862" s="8" t="str">
        <f>"1997-05-14"</f>
        <v>1997-05-14</v>
      </c>
      <c r="G862" s="9"/>
    </row>
    <row r="863" spans="1:7" ht="13.5">
      <c r="A863" s="7">
        <v>861</v>
      </c>
      <c r="B863" s="8" t="str">
        <f>"2341202009131947342883"</f>
        <v>2341202009131947342883</v>
      </c>
      <c r="C863" s="8" t="s">
        <v>8</v>
      </c>
      <c r="D863" s="8" t="str">
        <f>"周璇"</f>
        <v>周璇</v>
      </c>
      <c r="E863" s="8" t="str">
        <f t="shared" si="32"/>
        <v>女</v>
      </c>
      <c r="F863" s="8" t="str">
        <f>"1993-12-22"</f>
        <v>1993-12-22</v>
      </c>
      <c r="G863" s="9"/>
    </row>
    <row r="864" spans="1:7" ht="13.5">
      <c r="A864" s="7">
        <v>862</v>
      </c>
      <c r="B864" s="8" t="str">
        <f>"2341202009131948052884"</f>
        <v>2341202009131948052884</v>
      </c>
      <c r="C864" s="8" t="s">
        <v>8</v>
      </c>
      <c r="D864" s="8" t="str">
        <f>"钟仙妍"</f>
        <v>钟仙妍</v>
      </c>
      <c r="E864" s="8" t="str">
        <f t="shared" si="32"/>
        <v>女</v>
      </c>
      <c r="F864" s="8" t="str">
        <f>"1997-05-11"</f>
        <v>1997-05-11</v>
      </c>
      <c r="G864" s="9"/>
    </row>
    <row r="865" spans="1:7" ht="13.5">
      <c r="A865" s="7">
        <v>863</v>
      </c>
      <c r="B865" s="8" t="str">
        <f>"2341202009131955522887"</f>
        <v>2341202009131955522887</v>
      </c>
      <c r="C865" s="8" t="s">
        <v>8</v>
      </c>
      <c r="D865" s="8" t="str">
        <f>"符亚菊"</f>
        <v>符亚菊</v>
      </c>
      <c r="E865" s="8" t="str">
        <f t="shared" si="32"/>
        <v>女</v>
      </c>
      <c r="F865" s="8" t="str">
        <f>"1988-10-06"</f>
        <v>1988-10-06</v>
      </c>
      <c r="G865" s="9"/>
    </row>
    <row r="866" spans="1:7" ht="13.5">
      <c r="A866" s="7">
        <v>864</v>
      </c>
      <c r="B866" s="8" t="str">
        <f>"2341202009132031182904"</f>
        <v>2341202009132031182904</v>
      </c>
      <c r="C866" s="8" t="s">
        <v>8</v>
      </c>
      <c r="D866" s="8" t="str">
        <f>"林驰驰"</f>
        <v>林驰驰</v>
      </c>
      <c r="E866" s="8" t="str">
        <f t="shared" si="32"/>
        <v>女</v>
      </c>
      <c r="F866" s="8" t="str">
        <f>"1994-07-06"</f>
        <v>1994-07-06</v>
      </c>
      <c r="G866" s="9"/>
    </row>
    <row r="867" spans="1:7" ht="13.5">
      <c r="A867" s="7">
        <v>865</v>
      </c>
      <c r="B867" s="8" t="str">
        <f>"2341202009132045562906"</f>
        <v>2341202009132045562906</v>
      </c>
      <c r="C867" s="8" t="s">
        <v>8</v>
      </c>
      <c r="D867" s="8" t="str">
        <f>"柯彦琦"</f>
        <v>柯彦琦</v>
      </c>
      <c r="E867" s="8" t="str">
        <f t="shared" si="32"/>
        <v>女</v>
      </c>
      <c r="F867" s="8" t="str">
        <f>"1996-05-15"</f>
        <v>1996-05-15</v>
      </c>
      <c r="G867" s="9"/>
    </row>
    <row r="868" spans="1:7" ht="13.5">
      <c r="A868" s="7">
        <v>866</v>
      </c>
      <c r="B868" s="8" t="str">
        <f>"2341202009132050432907"</f>
        <v>2341202009132050432907</v>
      </c>
      <c r="C868" s="8" t="s">
        <v>8</v>
      </c>
      <c r="D868" s="8" t="str">
        <f>"崔欣"</f>
        <v>崔欣</v>
      </c>
      <c r="E868" s="8" t="str">
        <f t="shared" si="32"/>
        <v>女</v>
      </c>
      <c r="F868" s="8" t="str">
        <f>"1992-02-19"</f>
        <v>1992-02-19</v>
      </c>
      <c r="G868" s="9"/>
    </row>
    <row r="869" spans="1:7" ht="13.5">
      <c r="A869" s="7">
        <v>867</v>
      </c>
      <c r="B869" s="8" t="str">
        <f>"2341202009132121052920"</f>
        <v>2341202009132121052920</v>
      </c>
      <c r="C869" s="8" t="s">
        <v>8</v>
      </c>
      <c r="D869" s="8" t="str">
        <f>"王笑一"</f>
        <v>王笑一</v>
      </c>
      <c r="E869" s="8" t="str">
        <f t="shared" si="32"/>
        <v>女</v>
      </c>
      <c r="F869" s="8" t="str">
        <f>"1990-07-07"</f>
        <v>1990-07-07</v>
      </c>
      <c r="G869" s="9"/>
    </row>
    <row r="870" spans="1:7" ht="13.5">
      <c r="A870" s="7">
        <v>868</v>
      </c>
      <c r="B870" s="8" t="str">
        <f>"2341202009132130362924"</f>
        <v>2341202009132130362924</v>
      </c>
      <c r="C870" s="8" t="s">
        <v>8</v>
      </c>
      <c r="D870" s="8" t="str">
        <f>"陈莉"</f>
        <v>陈莉</v>
      </c>
      <c r="E870" s="8" t="str">
        <f t="shared" si="32"/>
        <v>女</v>
      </c>
      <c r="F870" s="8" t="str">
        <f>"1993-02-28"</f>
        <v>1993-02-28</v>
      </c>
      <c r="G870" s="9"/>
    </row>
    <row r="871" spans="1:7" ht="13.5">
      <c r="A871" s="7">
        <v>869</v>
      </c>
      <c r="B871" s="8" t="str">
        <f>"2341202009132141072930"</f>
        <v>2341202009132141072930</v>
      </c>
      <c r="C871" s="8" t="s">
        <v>8</v>
      </c>
      <c r="D871" s="8" t="str">
        <f>"赵青翠"</f>
        <v>赵青翠</v>
      </c>
      <c r="E871" s="8" t="str">
        <f t="shared" si="32"/>
        <v>女</v>
      </c>
      <c r="F871" s="8" t="str">
        <f>"1997-06-21"</f>
        <v>1997-06-21</v>
      </c>
      <c r="G871" s="9"/>
    </row>
    <row r="872" spans="1:7" ht="13.5">
      <c r="A872" s="7">
        <v>870</v>
      </c>
      <c r="B872" s="8" t="str">
        <f>"2341202009132156472936"</f>
        <v>2341202009132156472936</v>
      </c>
      <c r="C872" s="8" t="s">
        <v>8</v>
      </c>
      <c r="D872" s="8" t="str">
        <f>"吴美萱"</f>
        <v>吴美萱</v>
      </c>
      <c r="E872" s="8" t="str">
        <f t="shared" si="32"/>
        <v>女</v>
      </c>
      <c r="F872" s="8" t="str">
        <f>"1991-01-09"</f>
        <v>1991-01-09</v>
      </c>
      <c r="G872" s="9"/>
    </row>
    <row r="873" spans="1:7" ht="13.5">
      <c r="A873" s="7">
        <v>871</v>
      </c>
      <c r="B873" s="8" t="str">
        <f>"2341202009132157302937"</f>
        <v>2341202009132157302937</v>
      </c>
      <c r="C873" s="8" t="s">
        <v>8</v>
      </c>
      <c r="D873" s="8" t="str">
        <f>"袁萍"</f>
        <v>袁萍</v>
      </c>
      <c r="E873" s="8" t="str">
        <f t="shared" si="32"/>
        <v>女</v>
      </c>
      <c r="F873" s="8" t="str">
        <f>"1992-01-26"</f>
        <v>1992-01-26</v>
      </c>
      <c r="G873" s="9"/>
    </row>
    <row r="874" spans="1:7" ht="13.5">
      <c r="A874" s="7">
        <v>872</v>
      </c>
      <c r="B874" s="8" t="str">
        <f>"2341202009132157322938"</f>
        <v>2341202009132157322938</v>
      </c>
      <c r="C874" s="8" t="s">
        <v>8</v>
      </c>
      <c r="D874" s="8" t="str">
        <f>"杨丹"</f>
        <v>杨丹</v>
      </c>
      <c r="E874" s="8" t="str">
        <f t="shared" si="32"/>
        <v>女</v>
      </c>
      <c r="F874" s="8" t="str">
        <f>"1997-09-24"</f>
        <v>1997-09-24</v>
      </c>
      <c r="G874" s="9"/>
    </row>
    <row r="875" spans="1:7" ht="13.5">
      <c r="A875" s="7">
        <v>873</v>
      </c>
      <c r="B875" s="8" t="str">
        <f>"2341202009132210002943"</f>
        <v>2341202009132210002943</v>
      </c>
      <c r="C875" s="8" t="s">
        <v>8</v>
      </c>
      <c r="D875" s="8" t="str">
        <f>"钟专"</f>
        <v>钟专</v>
      </c>
      <c r="E875" s="8" t="str">
        <f t="shared" si="32"/>
        <v>女</v>
      </c>
      <c r="F875" s="8" t="str">
        <f>"1996-12-20"</f>
        <v>1996-12-20</v>
      </c>
      <c r="G875" s="9"/>
    </row>
    <row r="876" spans="1:7" ht="13.5">
      <c r="A876" s="7">
        <v>874</v>
      </c>
      <c r="B876" s="8" t="str">
        <f>"2341202009132219132950"</f>
        <v>2341202009132219132950</v>
      </c>
      <c r="C876" s="8" t="s">
        <v>8</v>
      </c>
      <c r="D876" s="8" t="str">
        <f>"吴文婷"</f>
        <v>吴文婷</v>
      </c>
      <c r="E876" s="8" t="str">
        <f t="shared" si="32"/>
        <v>女</v>
      </c>
      <c r="F876" s="8" t="str">
        <f>"1996-04-15"</f>
        <v>1996-04-15</v>
      </c>
      <c r="G876" s="9"/>
    </row>
    <row r="877" spans="1:7" ht="13.5">
      <c r="A877" s="7">
        <v>875</v>
      </c>
      <c r="B877" s="8" t="str">
        <f>"2341202009132220552952"</f>
        <v>2341202009132220552952</v>
      </c>
      <c r="C877" s="8" t="s">
        <v>8</v>
      </c>
      <c r="D877" s="8" t="str">
        <f>"董佳佳"</f>
        <v>董佳佳</v>
      </c>
      <c r="E877" s="8" t="str">
        <f t="shared" si="32"/>
        <v>女</v>
      </c>
      <c r="F877" s="8" t="str">
        <f>"1995-03-03"</f>
        <v>1995-03-03</v>
      </c>
      <c r="G877" s="9"/>
    </row>
    <row r="878" spans="1:7" ht="13.5">
      <c r="A878" s="7">
        <v>876</v>
      </c>
      <c r="B878" s="8" t="str">
        <f>"2341202009132224282954"</f>
        <v>2341202009132224282954</v>
      </c>
      <c r="C878" s="8" t="s">
        <v>8</v>
      </c>
      <c r="D878" s="8" t="str">
        <f>"陈嘉"</f>
        <v>陈嘉</v>
      </c>
      <c r="E878" s="8" t="str">
        <f>"男"</f>
        <v>男</v>
      </c>
      <c r="F878" s="8" t="str">
        <f>"1994-03-27"</f>
        <v>1994-03-27</v>
      </c>
      <c r="G878" s="9"/>
    </row>
    <row r="879" spans="1:7" ht="13.5">
      <c r="A879" s="7">
        <v>877</v>
      </c>
      <c r="B879" s="8" t="str">
        <f>"2341202009132225462955"</f>
        <v>2341202009132225462955</v>
      </c>
      <c r="C879" s="8" t="s">
        <v>8</v>
      </c>
      <c r="D879" s="8" t="str">
        <f>"符瑜芬"</f>
        <v>符瑜芬</v>
      </c>
      <c r="E879" s="8" t="str">
        <f aca="true" t="shared" si="33" ref="E879:E910">"女"</f>
        <v>女</v>
      </c>
      <c r="F879" s="8" t="str">
        <f>"1989-02-25"</f>
        <v>1989-02-25</v>
      </c>
      <c r="G879" s="9"/>
    </row>
    <row r="880" spans="1:7" ht="13.5">
      <c r="A880" s="7">
        <v>878</v>
      </c>
      <c r="B880" s="8" t="str">
        <f>"2341202009132229192958"</f>
        <v>2341202009132229192958</v>
      </c>
      <c r="C880" s="8" t="s">
        <v>8</v>
      </c>
      <c r="D880" s="8" t="str">
        <f>"林小佳"</f>
        <v>林小佳</v>
      </c>
      <c r="E880" s="8" t="str">
        <f t="shared" si="33"/>
        <v>女</v>
      </c>
      <c r="F880" s="8" t="str">
        <f>"1993-11-01"</f>
        <v>1993-11-01</v>
      </c>
      <c r="G880" s="9"/>
    </row>
    <row r="881" spans="1:7" ht="13.5">
      <c r="A881" s="7">
        <v>879</v>
      </c>
      <c r="B881" s="8" t="str">
        <f>"2341202009132233422960"</f>
        <v>2341202009132233422960</v>
      </c>
      <c r="C881" s="8" t="s">
        <v>8</v>
      </c>
      <c r="D881" s="8" t="str">
        <f>"张琪静"</f>
        <v>张琪静</v>
      </c>
      <c r="E881" s="8" t="str">
        <f t="shared" si="33"/>
        <v>女</v>
      </c>
      <c r="F881" s="8" t="str">
        <f>"1994-05-08"</f>
        <v>1994-05-08</v>
      </c>
      <c r="G881" s="9"/>
    </row>
    <row r="882" spans="1:7" ht="13.5">
      <c r="A882" s="7">
        <v>880</v>
      </c>
      <c r="B882" s="8" t="str">
        <f>"2341202009132238552963"</f>
        <v>2341202009132238552963</v>
      </c>
      <c r="C882" s="8" t="s">
        <v>8</v>
      </c>
      <c r="D882" s="8" t="str">
        <f>"关蓓蓓"</f>
        <v>关蓓蓓</v>
      </c>
      <c r="E882" s="8" t="str">
        <f t="shared" si="33"/>
        <v>女</v>
      </c>
      <c r="F882" s="8" t="str">
        <f>"1995-06-28"</f>
        <v>1995-06-28</v>
      </c>
      <c r="G882" s="9"/>
    </row>
    <row r="883" spans="1:7" ht="13.5">
      <c r="A883" s="7">
        <v>881</v>
      </c>
      <c r="B883" s="8" t="str">
        <f>"2341202009132251372969"</f>
        <v>2341202009132251372969</v>
      </c>
      <c r="C883" s="8" t="s">
        <v>8</v>
      </c>
      <c r="D883" s="8" t="str">
        <f>"王丽金"</f>
        <v>王丽金</v>
      </c>
      <c r="E883" s="8" t="str">
        <f t="shared" si="33"/>
        <v>女</v>
      </c>
      <c r="F883" s="8" t="str">
        <f>"1998-12-07"</f>
        <v>1998-12-07</v>
      </c>
      <c r="G883" s="9"/>
    </row>
    <row r="884" spans="1:7" ht="13.5">
      <c r="A884" s="7">
        <v>882</v>
      </c>
      <c r="B884" s="8" t="str">
        <f>"2341202009132254312970"</f>
        <v>2341202009132254312970</v>
      </c>
      <c r="C884" s="8" t="s">
        <v>8</v>
      </c>
      <c r="D884" s="8" t="str">
        <f>"刘碧玉"</f>
        <v>刘碧玉</v>
      </c>
      <c r="E884" s="8" t="str">
        <f t="shared" si="33"/>
        <v>女</v>
      </c>
      <c r="F884" s="8" t="str">
        <f>"1997-02-12"</f>
        <v>1997-02-12</v>
      </c>
      <c r="G884" s="9"/>
    </row>
    <row r="885" spans="1:7" ht="13.5">
      <c r="A885" s="7">
        <v>883</v>
      </c>
      <c r="B885" s="8" t="str">
        <f>"2341202009132301382975"</f>
        <v>2341202009132301382975</v>
      </c>
      <c r="C885" s="8" t="s">
        <v>8</v>
      </c>
      <c r="D885" s="8" t="str">
        <f>"张梦莹"</f>
        <v>张梦莹</v>
      </c>
      <c r="E885" s="8" t="str">
        <f t="shared" si="33"/>
        <v>女</v>
      </c>
      <c r="F885" s="8" t="str">
        <f>"1994-02-12"</f>
        <v>1994-02-12</v>
      </c>
      <c r="G885" s="9"/>
    </row>
    <row r="886" spans="1:7" ht="13.5">
      <c r="A886" s="7">
        <v>884</v>
      </c>
      <c r="B886" s="8" t="str">
        <f>"2341202009132321332979"</f>
        <v>2341202009132321332979</v>
      </c>
      <c r="C886" s="8" t="s">
        <v>8</v>
      </c>
      <c r="D886" s="8" t="str">
        <f>"吴欢"</f>
        <v>吴欢</v>
      </c>
      <c r="E886" s="8" t="str">
        <f t="shared" si="33"/>
        <v>女</v>
      </c>
      <c r="F886" s="8" t="str">
        <f>"1991-07-10"</f>
        <v>1991-07-10</v>
      </c>
      <c r="G886" s="9"/>
    </row>
    <row r="887" spans="1:7" ht="13.5">
      <c r="A887" s="7">
        <v>885</v>
      </c>
      <c r="B887" s="8" t="str">
        <f>"2341202009132344002984"</f>
        <v>2341202009132344002984</v>
      </c>
      <c r="C887" s="8" t="s">
        <v>8</v>
      </c>
      <c r="D887" s="8" t="str">
        <f>"王晓玲"</f>
        <v>王晓玲</v>
      </c>
      <c r="E887" s="8" t="str">
        <f t="shared" si="33"/>
        <v>女</v>
      </c>
      <c r="F887" s="8" t="str">
        <f>"1994-08-03"</f>
        <v>1994-08-03</v>
      </c>
      <c r="G887" s="9"/>
    </row>
    <row r="888" spans="1:7" ht="13.5">
      <c r="A888" s="7">
        <v>886</v>
      </c>
      <c r="B888" s="8" t="str">
        <f>"2341202009132357552985"</f>
        <v>2341202009132357552985</v>
      </c>
      <c r="C888" s="8" t="s">
        <v>8</v>
      </c>
      <c r="D888" s="8" t="str">
        <f>"万丽桃"</f>
        <v>万丽桃</v>
      </c>
      <c r="E888" s="8" t="str">
        <f t="shared" si="33"/>
        <v>女</v>
      </c>
      <c r="F888" s="8" t="str">
        <f>"1985-08-25"</f>
        <v>1985-08-25</v>
      </c>
      <c r="G888" s="9"/>
    </row>
    <row r="889" spans="1:7" ht="13.5">
      <c r="A889" s="7">
        <v>887</v>
      </c>
      <c r="B889" s="8" t="str">
        <f>"2341202009140014522990"</f>
        <v>2341202009140014522990</v>
      </c>
      <c r="C889" s="8" t="s">
        <v>8</v>
      </c>
      <c r="D889" s="8" t="str">
        <f>"王佩"</f>
        <v>王佩</v>
      </c>
      <c r="E889" s="8" t="str">
        <f t="shared" si="33"/>
        <v>女</v>
      </c>
      <c r="F889" s="8" t="str">
        <f>"1991-08-22"</f>
        <v>1991-08-22</v>
      </c>
      <c r="G889" s="9"/>
    </row>
    <row r="890" spans="1:7" ht="13.5">
      <c r="A890" s="7">
        <v>888</v>
      </c>
      <c r="B890" s="8" t="str">
        <f>"2341202009140037332994"</f>
        <v>2341202009140037332994</v>
      </c>
      <c r="C890" s="8" t="s">
        <v>8</v>
      </c>
      <c r="D890" s="8" t="str">
        <f>"钟琼君"</f>
        <v>钟琼君</v>
      </c>
      <c r="E890" s="8" t="str">
        <f t="shared" si="33"/>
        <v>女</v>
      </c>
      <c r="F890" s="8" t="str">
        <f>"1990-07-17"</f>
        <v>1990-07-17</v>
      </c>
      <c r="G890" s="9"/>
    </row>
    <row r="891" spans="1:7" ht="13.5">
      <c r="A891" s="7">
        <v>889</v>
      </c>
      <c r="B891" s="8" t="str">
        <f>"2341202009140041372995"</f>
        <v>2341202009140041372995</v>
      </c>
      <c r="C891" s="8" t="s">
        <v>8</v>
      </c>
      <c r="D891" s="8" t="str">
        <f>"李静雯"</f>
        <v>李静雯</v>
      </c>
      <c r="E891" s="8" t="str">
        <f t="shared" si="33"/>
        <v>女</v>
      </c>
      <c r="F891" s="8" t="str">
        <f>"1992-05-09"</f>
        <v>1992-05-09</v>
      </c>
      <c r="G891" s="9"/>
    </row>
    <row r="892" spans="1:7" ht="13.5">
      <c r="A892" s="7">
        <v>890</v>
      </c>
      <c r="B892" s="8" t="str">
        <f>"2341202009140725333005"</f>
        <v>2341202009140725333005</v>
      </c>
      <c r="C892" s="8" t="s">
        <v>8</v>
      </c>
      <c r="D892" s="8" t="str">
        <f>"林春珍"</f>
        <v>林春珍</v>
      </c>
      <c r="E892" s="8" t="str">
        <f t="shared" si="33"/>
        <v>女</v>
      </c>
      <c r="F892" s="8" t="str">
        <f>"1992-09-26"</f>
        <v>1992-09-26</v>
      </c>
      <c r="G892" s="9"/>
    </row>
    <row r="893" spans="1:7" ht="13.5">
      <c r="A893" s="7">
        <v>891</v>
      </c>
      <c r="B893" s="8" t="str">
        <f>"2341202009140742083006"</f>
        <v>2341202009140742083006</v>
      </c>
      <c r="C893" s="8" t="s">
        <v>8</v>
      </c>
      <c r="D893" s="8" t="str">
        <f>"韦蕾蕾"</f>
        <v>韦蕾蕾</v>
      </c>
      <c r="E893" s="8" t="str">
        <f t="shared" si="33"/>
        <v>女</v>
      </c>
      <c r="F893" s="8" t="str">
        <f>"1994-02-02"</f>
        <v>1994-02-02</v>
      </c>
      <c r="G893" s="9"/>
    </row>
    <row r="894" spans="1:7" ht="13.5">
      <c r="A894" s="7">
        <v>892</v>
      </c>
      <c r="B894" s="8" t="str">
        <f>"2341202009140754473007"</f>
        <v>2341202009140754473007</v>
      </c>
      <c r="C894" s="8" t="s">
        <v>8</v>
      </c>
      <c r="D894" s="8" t="str">
        <f>"赵琼璐"</f>
        <v>赵琼璐</v>
      </c>
      <c r="E894" s="8" t="str">
        <f t="shared" si="33"/>
        <v>女</v>
      </c>
      <c r="F894" s="8" t="str">
        <f>"1996-04-24"</f>
        <v>1996-04-24</v>
      </c>
      <c r="G894" s="9"/>
    </row>
    <row r="895" spans="1:7" ht="13.5">
      <c r="A895" s="7">
        <v>893</v>
      </c>
      <c r="B895" s="8" t="str">
        <f>"2341202009140801493009"</f>
        <v>2341202009140801493009</v>
      </c>
      <c r="C895" s="8" t="s">
        <v>8</v>
      </c>
      <c r="D895" s="8" t="str">
        <f>"王捷"</f>
        <v>王捷</v>
      </c>
      <c r="E895" s="8" t="str">
        <f t="shared" si="33"/>
        <v>女</v>
      </c>
      <c r="F895" s="8" t="str">
        <f>"1995-08-09"</f>
        <v>1995-08-09</v>
      </c>
      <c r="G895" s="9"/>
    </row>
    <row r="896" spans="1:7" ht="13.5">
      <c r="A896" s="7">
        <v>894</v>
      </c>
      <c r="B896" s="8" t="str">
        <f>"2341202009140804393010"</f>
        <v>2341202009140804393010</v>
      </c>
      <c r="C896" s="8" t="s">
        <v>8</v>
      </c>
      <c r="D896" s="8" t="str">
        <f>"李君"</f>
        <v>李君</v>
      </c>
      <c r="E896" s="8" t="str">
        <f t="shared" si="33"/>
        <v>女</v>
      </c>
      <c r="F896" s="8" t="str">
        <f>"1989-06-15"</f>
        <v>1989-06-15</v>
      </c>
      <c r="G896" s="9"/>
    </row>
    <row r="897" spans="1:7" ht="13.5">
      <c r="A897" s="7">
        <v>895</v>
      </c>
      <c r="B897" s="8" t="str">
        <f>"2341202009140808053011"</f>
        <v>2341202009140808053011</v>
      </c>
      <c r="C897" s="8" t="s">
        <v>8</v>
      </c>
      <c r="D897" s="8" t="str">
        <f>"王祎明"</f>
        <v>王祎明</v>
      </c>
      <c r="E897" s="8" t="str">
        <f t="shared" si="33"/>
        <v>女</v>
      </c>
      <c r="F897" s="8" t="str">
        <f>"1994-07-04"</f>
        <v>1994-07-04</v>
      </c>
      <c r="G897" s="9"/>
    </row>
    <row r="898" spans="1:7" ht="13.5">
      <c r="A898" s="7">
        <v>896</v>
      </c>
      <c r="B898" s="8" t="str">
        <f>"2341202009140830203016"</f>
        <v>2341202009140830203016</v>
      </c>
      <c r="C898" s="8" t="s">
        <v>8</v>
      </c>
      <c r="D898" s="8" t="str">
        <f>"黄群婷"</f>
        <v>黄群婷</v>
      </c>
      <c r="E898" s="8" t="str">
        <f t="shared" si="33"/>
        <v>女</v>
      </c>
      <c r="F898" s="8" t="str">
        <f>"1996-12-01"</f>
        <v>1996-12-01</v>
      </c>
      <c r="G898" s="9"/>
    </row>
    <row r="899" spans="1:7" ht="13.5">
      <c r="A899" s="7">
        <v>897</v>
      </c>
      <c r="B899" s="8" t="str">
        <f>"2341202009140850533023"</f>
        <v>2341202009140850533023</v>
      </c>
      <c r="C899" s="8" t="s">
        <v>8</v>
      </c>
      <c r="D899" s="8" t="str">
        <f>"沈欣娇"</f>
        <v>沈欣娇</v>
      </c>
      <c r="E899" s="8" t="str">
        <f t="shared" si="33"/>
        <v>女</v>
      </c>
      <c r="F899" s="8" t="str">
        <f>"1998-10-21"</f>
        <v>1998-10-21</v>
      </c>
      <c r="G899" s="9"/>
    </row>
    <row r="900" spans="1:7" ht="13.5">
      <c r="A900" s="7">
        <v>898</v>
      </c>
      <c r="B900" s="8" t="str">
        <f>"2341202009140906113030"</f>
        <v>2341202009140906113030</v>
      </c>
      <c r="C900" s="8" t="s">
        <v>8</v>
      </c>
      <c r="D900" s="8" t="str">
        <f>"陈少密"</f>
        <v>陈少密</v>
      </c>
      <c r="E900" s="8" t="str">
        <f t="shared" si="33"/>
        <v>女</v>
      </c>
      <c r="F900" s="8" t="str">
        <f>"1996-05-17"</f>
        <v>1996-05-17</v>
      </c>
      <c r="G900" s="9"/>
    </row>
    <row r="901" spans="1:7" ht="13.5">
      <c r="A901" s="7">
        <v>899</v>
      </c>
      <c r="B901" s="8" t="str">
        <f>"2341202009140926303037"</f>
        <v>2341202009140926303037</v>
      </c>
      <c r="C901" s="8" t="s">
        <v>8</v>
      </c>
      <c r="D901" s="8" t="str">
        <f>"吴若"</f>
        <v>吴若</v>
      </c>
      <c r="E901" s="8" t="str">
        <f t="shared" si="33"/>
        <v>女</v>
      </c>
      <c r="F901" s="8" t="str">
        <f>"1986-10-19"</f>
        <v>1986-10-19</v>
      </c>
      <c r="G901" s="9"/>
    </row>
    <row r="902" spans="1:7" ht="13.5">
      <c r="A902" s="7">
        <v>900</v>
      </c>
      <c r="B902" s="8" t="str">
        <f>"2341202009140936313041"</f>
        <v>2341202009140936313041</v>
      </c>
      <c r="C902" s="8" t="s">
        <v>8</v>
      </c>
      <c r="D902" s="8" t="str">
        <f>"欧阳咏韵"</f>
        <v>欧阳咏韵</v>
      </c>
      <c r="E902" s="8" t="str">
        <f t="shared" si="33"/>
        <v>女</v>
      </c>
      <c r="F902" s="8" t="str">
        <f>"1990-10-30"</f>
        <v>1990-10-30</v>
      </c>
      <c r="G902" s="9"/>
    </row>
    <row r="903" spans="1:7" ht="13.5">
      <c r="A903" s="7">
        <v>901</v>
      </c>
      <c r="B903" s="8" t="str">
        <f>"2341202009140949423045"</f>
        <v>2341202009140949423045</v>
      </c>
      <c r="C903" s="8" t="s">
        <v>8</v>
      </c>
      <c r="D903" s="8" t="str">
        <f>"吴毓珠"</f>
        <v>吴毓珠</v>
      </c>
      <c r="E903" s="8" t="str">
        <f t="shared" si="33"/>
        <v>女</v>
      </c>
      <c r="F903" s="8" t="str">
        <f>"1998-11-28"</f>
        <v>1998-11-28</v>
      </c>
      <c r="G903" s="9"/>
    </row>
    <row r="904" spans="1:7" ht="13.5">
      <c r="A904" s="7">
        <v>902</v>
      </c>
      <c r="B904" s="8" t="str">
        <f>"2341202009140951173047"</f>
        <v>2341202009140951173047</v>
      </c>
      <c r="C904" s="8" t="s">
        <v>8</v>
      </c>
      <c r="D904" s="8" t="str">
        <f>"温思茹"</f>
        <v>温思茹</v>
      </c>
      <c r="E904" s="8" t="str">
        <f t="shared" si="33"/>
        <v>女</v>
      </c>
      <c r="F904" s="8" t="str">
        <f>"1994-09-27"</f>
        <v>1994-09-27</v>
      </c>
      <c r="G904" s="9"/>
    </row>
    <row r="905" spans="1:7" ht="13.5">
      <c r="A905" s="7">
        <v>903</v>
      </c>
      <c r="B905" s="8" t="str">
        <f>"2341202009140959113049"</f>
        <v>2341202009140959113049</v>
      </c>
      <c r="C905" s="8" t="s">
        <v>8</v>
      </c>
      <c r="D905" s="8" t="str">
        <f>"吴元清"</f>
        <v>吴元清</v>
      </c>
      <c r="E905" s="8" t="str">
        <f t="shared" si="33"/>
        <v>女</v>
      </c>
      <c r="F905" s="8" t="str">
        <f>"1995-01-10"</f>
        <v>1995-01-10</v>
      </c>
      <c r="G905" s="9"/>
    </row>
    <row r="906" spans="1:7" ht="13.5">
      <c r="A906" s="7">
        <v>904</v>
      </c>
      <c r="B906" s="8" t="str">
        <f>"2341202009141007203050"</f>
        <v>2341202009141007203050</v>
      </c>
      <c r="C906" s="8" t="s">
        <v>8</v>
      </c>
      <c r="D906" s="8" t="str">
        <f>"司徒慧敏"</f>
        <v>司徒慧敏</v>
      </c>
      <c r="E906" s="8" t="str">
        <f t="shared" si="33"/>
        <v>女</v>
      </c>
      <c r="F906" s="8" t="str">
        <f>"1998-02-24"</f>
        <v>1998-02-24</v>
      </c>
      <c r="G906" s="9"/>
    </row>
    <row r="907" spans="1:7" ht="13.5">
      <c r="A907" s="7">
        <v>905</v>
      </c>
      <c r="B907" s="8" t="str">
        <f>"2341202009141010093051"</f>
        <v>2341202009141010093051</v>
      </c>
      <c r="C907" s="8" t="s">
        <v>8</v>
      </c>
      <c r="D907" s="8" t="str">
        <f>"吴晶晶"</f>
        <v>吴晶晶</v>
      </c>
      <c r="E907" s="8" t="str">
        <f t="shared" si="33"/>
        <v>女</v>
      </c>
      <c r="F907" s="8" t="str">
        <f>"1990-07-20"</f>
        <v>1990-07-20</v>
      </c>
      <c r="G907" s="9"/>
    </row>
    <row r="908" spans="1:7" ht="13.5">
      <c r="A908" s="7">
        <v>906</v>
      </c>
      <c r="B908" s="8" t="str">
        <f>"2341202009141016113054"</f>
        <v>2341202009141016113054</v>
      </c>
      <c r="C908" s="8" t="s">
        <v>8</v>
      </c>
      <c r="D908" s="8" t="str">
        <f>"陈春教"</f>
        <v>陈春教</v>
      </c>
      <c r="E908" s="8" t="str">
        <f t="shared" si="33"/>
        <v>女</v>
      </c>
      <c r="F908" s="8" t="str">
        <f>"1994-05-07"</f>
        <v>1994-05-07</v>
      </c>
      <c r="G908" s="9"/>
    </row>
    <row r="909" spans="1:7" ht="13.5">
      <c r="A909" s="7">
        <v>907</v>
      </c>
      <c r="B909" s="8" t="str">
        <f>"2341202009141027403059"</f>
        <v>2341202009141027403059</v>
      </c>
      <c r="C909" s="8" t="s">
        <v>8</v>
      </c>
      <c r="D909" s="8" t="str">
        <f>"林芬"</f>
        <v>林芬</v>
      </c>
      <c r="E909" s="8" t="str">
        <f t="shared" si="33"/>
        <v>女</v>
      </c>
      <c r="F909" s="8" t="str">
        <f>"1996-05-10"</f>
        <v>1996-05-10</v>
      </c>
      <c r="G909" s="9"/>
    </row>
    <row r="910" spans="1:7" ht="13.5">
      <c r="A910" s="7">
        <v>908</v>
      </c>
      <c r="B910" s="8" t="str">
        <f>"2341202009141033293060"</f>
        <v>2341202009141033293060</v>
      </c>
      <c r="C910" s="8" t="s">
        <v>8</v>
      </c>
      <c r="D910" s="8" t="str">
        <f>"莫壮颖"</f>
        <v>莫壮颖</v>
      </c>
      <c r="E910" s="8" t="str">
        <f t="shared" si="33"/>
        <v>女</v>
      </c>
      <c r="F910" s="8" t="str">
        <f>"1995-06-28"</f>
        <v>1995-06-28</v>
      </c>
      <c r="G910" s="9"/>
    </row>
    <row r="911" spans="1:7" ht="13.5">
      <c r="A911" s="7">
        <v>909</v>
      </c>
      <c r="B911" s="8" t="str">
        <f>"2341202009141035383061"</f>
        <v>2341202009141035383061</v>
      </c>
      <c r="C911" s="8" t="s">
        <v>8</v>
      </c>
      <c r="D911" s="8" t="str">
        <f>"符少姗"</f>
        <v>符少姗</v>
      </c>
      <c r="E911" s="8" t="str">
        <f aca="true" t="shared" si="34" ref="E911:E942">"女"</f>
        <v>女</v>
      </c>
      <c r="F911" s="8" t="str">
        <f>"1991-02-09"</f>
        <v>1991-02-09</v>
      </c>
      <c r="G911" s="9"/>
    </row>
    <row r="912" spans="1:7" ht="13.5">
      <c r="A912" s="7">
        <v>910</v>
      </c>
      <c r="B912" s="8" t="str">
        <f>"2341202009141046083064"</f>
        <v>2341202009141046083064</v>
      </c>
      <c r="C912" s="8" t="s">
        <v>8</v>
      </c>
      <c r="D912" s="8" t="str">
        <f>"杨惠珺"</f>
        <v>杨惠珺</v>
      </c>
      <c r="E912" s="8" t="str">
        <f t="shared" si="34"/>
        <v>女</v>
      </c>
      <c r="F912" s="8" t="str">
        <f>"1996-05-25"</f>
        <v>1996-05-25</v>
      </c>
      <c r="G912" s="9"/>
    </row>
    <row r="913" spans="1:7" ht="13.5">
      <c r="A913" s="7">
        <v>911</v>
      </c>
      <c r="B913" s="8" t="str">
        <f>"2341202009141101113070"</f>
        <v>2341202009141101113070</v>
      </c>
      <c r="C913" s="8" t="s">
        <v>8</v>
      </c>
      <c r="D913" s="8" t="str">
        <f>"缪正雁"</f>
        <v>缪正雁</v>
      </c>
      <c r="E913" s="8" t="str">
        <f t="shared" si="34"/>
        <v>女</v>
      </c>
      <c r="F913" s="8" t="str">
        <f>"1997-03-23"</f>
        <v>1997-03-23</v>
      </c>
      <c r="G913" s="9"/>
    </row>
    <row r="914" spans="1:7" ht="13.5">
      <c r="A914" s="7">
        <v>912</v>
      </c>
      <c r="B914" s="8" t="str">
        <f>"2341202009141107303072"</f>
        <v>2341202009141107303072</v>
      </c>
      <c r="C914" s="8" t="s">
        <v>8</v>
      </c>
      <c r="D914" s="8" t="str">
        <f>"唐潇云"</f>
        <v>唐潇云</v>
      </c>
      <c r="E914" s="8" t="str">
        <f t="shared" si="34"/>
        <v>女</v>
      </c>
      <c r="F914" s="8" t="str">
        <f>"1994-05-28"</f>
        <v>1994-05-28</v>
      </c>
      <c r="G914" s="9"/>
    </row>
    <row r="915" spans="1:7" ht="13.5">
      <c r="A915" s="7">
        <v>913</v>
      </c>
      <c r="B915" s="8" t="str">
        <f>"2341202009141112363074"</f>
        <v>2341202009141112363074</v>
      </c>
      <c r="C915" s="8" t="s">
        <v>8</v>
      </c>
      <c r="D915" s="8" t="str">
        <f>"符会蕊"</f>
        <v>符会蕊</v>
      </c>
      <c r="E915" s="8" t="str">
        <f t="shared" si="34"/>
        <v>女</v>
      </c>
      <c r="F915" s="8" t="str">
        <f>"1993-10-29"</f>
        <v>1993-10-29</v>
      </c>
      <c r="G915" s="9"/>
    </row>
    <row r="916" spans="1:7" ht="13.5">
      <c r="A916" s="7">
        <v>914</v>
      </c>
      <c r="B916" s="8" t="str">
        <f>"2341202009141113433076"</f>
        <v>2341202009141113433076</v>
      </c>
      <c r="C916" s="8" t="s">
        <v>8</v>
      </c>
      <c r="D916" s="8" t="str">
        <f>"张晓肖"</f>
        <v>张晓肖</v>
      </c>
      <c r="E916" s="8" t="str">
        <f t="shared" si="34"/>
        <v>女</v>
      </c>
      <c r="F916" s="8" t="str">
        <f>"1990-02-03"</f>
        <v>1990-02-03</v>
      </c>
      <c r="G916" s="9"/>
    </row>
    <row r="917" spans="1:7" ht="13.5">
      <c r="A917" s="7">
        <v>915</v>
      </c>
      <c r="B917" s="8" t="str">
        <f>"2341202009141118013077"</f>
        <v>2341202009141118013077</v>
      </c>
      <c r="C917" s="8" t="s">
        <v>8</v>
      </c>
      <c r="D917" s="8" t="str">
        <f>"陈丽晶"</f>
        <v>陈丽晶</v>
      </c>
      <c r="E917" s="8" t="str">
        <f t="shared" si="34"/>
        <v>女</v>
      </c>
      <c r="F917" s="8" t="str">
        <f>"1996-07-19"</f>
        <v>1996-07-19</v>
      </c>
      <c r="G917" s="9"/>
    </row>
    <row r="918" spans="1:7" ht="13.5">
      <c r="A918" s="7">
        <v>916</v>
      </c>
      <c r="B918" s="8" t="str">
        <f>"2341202009141119373078"</f>
        <v>2341202009141119373078</v>
      </c>
      <c r="C918" s="8" t="s">
        <v>8</v>
      </c>
      <c r="D918" s="8" t="str">
        <f>"张玉柳"</f>
        <v>张玉柳</v>
      </c>
      <c r="E918" s="8" t="str">
        <f t="shared" si="34"/>
        <v>女</v>
      </c>
      <c r="F918" s="8" t="str">
        <f>"1993-09-22"</f>
        <v>1993-09-22</v>
      </c>
      <c r="G918" s="9"/>
    </row>
    <row r="919" spans="1:7" ht="13.5">
      <c r="A919" s="7">
        <v>917</v>
      </c>
      <c r="B919" s="8" t="str">
        <f>"2341202009141126323080"</f>
        <v>2341202009141126323080</v>
      </c>
      <c r="C919" s="8" t="s">
        <v>8</v>
      </c>
      <c r="D919" s="8" t="str">
        <f>"谢金燕"</f>
        <v>谢金燕</v>
      </c>
      <c r="E919" s="8" t="str">
        <f t="shared" si="34"/>
        <v>女</v>
      </c>
      <c r="F919" s="8" t="str">
        <f>"1995-02-17"</f>
        <v>1995-02-17</v>
      </c>
      <c r="G919" s="9"/>
    </row>
    <row r="920" spans="1:7" ht="13.5">
      <c r="A920" s="7">
        <v>918</v>
      </c>
      <c r="B920" s="8" t="str">
        <f>"2341202009141128363081"</f>
        <v>2341202009141128363081</v>
      </c>
      <c r="C920" s="8" t="s">
        <v>8</v>
      </c>
      <c r="D920" s="8" t="str">
        <f>"蔡俐儿"</f>
        <v>蔡俐儿</v>
      </c>
      <c r="E920" s="8" t="str">
        <f t="shared" si="34"/>
        <v>女</v>
      </c>
      <c r="F920" s="8" t="str">
        <f>"1993-11-28"</f>
        <v>1993-11-28</v>
      </c>
      <c r="G920" s="9"/>
    </row>
    <row r="921" spans="1:7" ht="13.5">
      <c r="A921" s="7">
        <v>919</v>
      </c>
      <c r="B921" s="8" t="str">
        <f>"2341202009141135093084"</f>
        <v>2341202009141135093084</v>
      </c>
      <c r="C921" s="8" t="s">
        <v>8</v>
      </c>
      <c r="D921" s="8" t="str">
        <f>"刘娅妮"</f>
        <v>刘娅妮</v>
      </c>
      <c r="E921" s="8" t="str">
        <f t="shared" si="34"/>
        <v>女</v>
      </c>
      <c r="F921" s="8" t="str">
        <f>"1992-12-26"</f>
        <v>1992-12-26</v>
      </c>
      <c r="G921" s="9"/>
    </row>
    <row r="922" spans="1:7" ht="13.5">
      <c r="A922" s="7">
        <v>920</v>
      </c>
      <c r="B922" s="8" t="str">
        <f>"2341202009141200543097"</f>
        <v>2341202009141200543097</v>
      </c>
      <c r="C922" s="8" t="s">
        <v>8</v>
      </c>
      <c r="D922" s="8" t="str">
        <f>"邢尤珍"</f>
        <v>邢尤珍</v>
      </c>
      <c r="E922" s="8" t="str">
        <f t="shared" si="34"/>
        <v>女</v>
      </c>
      <c r="F922" s="8" t="str">
        <f>"1993-09-03"</f>
        <v>1993-09-03</v>
      </c>
      <c r="G922" s="9"/>
    </row>
    <row r="923" spans="1:7" ht="13.5">
      <c r="A923" s="7">
        <v>921</v>
      </c>
      <c r="B923" s="8" t="str">
        <f>"2341202009141210133102"</f>
        <v>2341202009141210133102</v>
      </c>
      <c r="C923" s="8" t="s">
        <v>8</v>
      </c>
      <c r="D923" s="8" t="str">
        <f>"林俐宏"</f>
        <v>林俐宏</v>
      </c>
      <c r="E923" s="8" t="str">
        <f t="shared" si="34"/>
        <v>女</v>
      </c>
      <c r="F923" s="8" t="str">
        <f>"1990-02-07"</f>
        <v>1990-02-07</v>
      </c>
      <c r="G923" s="9"/>
    </row>
    <row r="924" spans="1:7" ht="13.5">
      <c r="A924" s="7">
        <v>922</v>
      </c>
      <c r="B924" s="8" t="str">
        <f>"2341202009141217003107"</f>
        <v>2341202009141217003107</v>
      </c>
      <c r="C924" s="8" t="s">
        <v>8</v>
      </c>
      <c r="D924" s="8" t="str">
        <f>"李翠梅"</f>
        <v>李翠梅</v>
      </c>
      <c r="E924" s="8" t="str">
        <f t="shared" si="34"/>
        <v>女</v>
      </c>
      <c r="F924" s="8" t="str">
        <f>"1991-01-15"</f>
        <v>1991-01-15</v>
      </c>
      <c r="G924" s="9"/>
    </row>
    <row r="925" spans="1:7" ht="13.5">
      <c r="A925" s="7">
        <v>923</v>
      </c>
      <c r="B925" s="8" t="str">
        <f>"2341202009141219133109"</f>
        <v>2341202009141219133109</v>
      </c>
      <c r="C925" s="8" t="s">
        <v>8</v>
      </c>
      <c r="D925" s="8" t="str">
        <f>"王川淇"</f>
        <v>王川淇</v>
      </c>
      <c r="E925" s="8" t="str">
        <f t="shared" si="34"/>
        <v>女</v>
      </c>
      <c r="F925" s="8" t="str">
        <f>"1993-04-14"</f>
        <v>1993-04-14</v>
      </c>
      <c r="G925" s="9"/>
    </row>
    <row r="926" spans="1:7" ht="13.5">
      <c r="A926" s="7">
        <v>924</v>
      </c>
      <c r="B926" s="8" t="str">
        <f>"2341202009141222073111"</f>
        <v>2341202009141222073111</v>
      </c>
      <c r="C926" s="8" t="s">
        <v>8</v>
      </c>
      <c r="D926" s="8" t="str">
        <f>"冯秋转"</f>
        <v>冯秋转</v>
      </c>
      <c r="E926" s="8" t="str">
        <f t="shared" si="34"/>
        <v>女</v>
      </c>
      <c r="F926" s="8" t="str">
        <f>"1991-10-17"</f>
        <v>1991-10-17</v>
      </c>
      <c r="G926" s="9"/>
    </row>
    <row r="927" spans="1:7" ht="13.5">
      <c r="A927" s="7">
        <v>925</v>
      </c>
      <c r="B927" s="8" t="str">
        <f>"2341202009141224343113"</f>
        <v>2341202009141224343113</v>
      </c>
      <c r="C927" s="8" t="s">
        <v>8</v>
      </c>
      <c r="D927" s="8" t="str">
        <f>"梁小茜"</f>
        <v>梁小茜</v>
      </c>
      <c r="E927" s="8" t="str">
        <f t="shared" si="34"/>
        <v>女</v>
      </c>
      <c r="F927" s="8" t="str">
        <f>"1993-07-04"</f>
        <v>1993-07-04</v>
      </c>
      <c r="G927" s="9"/>
    </row>
    <row r="928" spans="1:7" ht="13.5">
      <c r="A928" s="7">
        <v>926</v>
      </c>
      <c r="B928" s="8" t="str">
        <f>"2341202009141230293116"</f>
        <v>2341202009141230293116</v>
      </c>
      <c r="C928" s="8" t="s">
        <v>8</v>
      </c>
      <c r="D928" s="8" t="str">
        <f>"王莉婵"</f>
        <v>王莉婵</v>
      </c>
      <c r="E928" s="8" t="str">
        <f t="shared" si="34"/>
        <v>女</v>
      </c>
      <c r="F928" s="8" t="str">
        <f>"1997-10-25"</f>
        <v>1997-10-25</v>
      </c>
      <c r="G928" s="9"/>
    </row>
    <row r="929" spans="1:7" ht="13.5">
      <c r="A929" s="7">
        <v>927</v>
      </c>
      <c r="B929" s="8" t="str">
        <f>"2341202009141240053124"</f>
        <v>2341202009141240053124</v>
      </c>
      <c r="C929" s="8" t="s">
        <v>8</v>
      </c>
      <c r="D929" s="8" t="str">
        <f>"辛夏丹"</f>
        <v>辛夏丹</v>
      </c>
      <c r="E929" s="8" t="str">
        <f t="shared" si="34"/>
        <v>女</v>
      </c>
      <c r="F929" s="8" t="str">
        <f>"1993-04-20"</f>
        <v>1993-04-20</v>
      </c>
      <c r="G929" s="9"/>
    </row>
    <row r="930" spans="1:7" ht="13.5">
      <c r="A930" s="7">
        <v>928</v>
      </c>
      <c r="B930" s="8" t="str">
        <f>"2341202009141240263125"</f>
        <v>2341202009141240263125</v>
      </c>
      <c r="C930" s="8" t="s">
        <v>8</v>
      </c>
      <c r="D930" s="8" t="str">
        <f>"陈雨"</f>
        <v>陈雨</v>
      </c>
      <c r="E930" s="8" t="str">
        <f t="shared" si="34"/>
        <v>女</v>
      </c>
      <c r="F930" s="8" t="str">
        <f>"1990-10-08"</f>
        <v>1990-10-08</v>
      </c>
      <c r="G930" s="9"/>
    </row>
    <row r="931" spans="1:7" ht="13.5">
      <c r="A931" s="7">
        <v>929</v>
      </c>
      <c r="B931" s="8" t="str">
        <f>"2341202009141257323136"</f>
        <v>2341202009141257323136</v>
      </c>
      <c r="C931" s="8" t="s">
        <v>8</v>
      </c>
      <c r="D931" s="8" t="str">
        <f>"陈琳"</f>
        <v>陈琳</v>
      </c>
      <c r="E931" s="8" t="str">
        <f t="shared" si="34"/>
        <v>女</v>
      </c>
      <c r="F931" s="8" t="str">
        <f>"1987-10-23"</f>
        <v>1987-10-23</v>
      </c>
      <c r="G931" s="9"/>
    </row>
    <row r="932" spans="1:7" ht="13.5">
      <c r="A932" s="7">
        <v>930</v>
      </c>
      <c r="B932" s="8" t="str">
        <f>"2341202009141300013138"</f>
        <v>2341202009141300013138</v>
      </c>
      <c r="C932" s="8" t="s">
        <v>8</v>
      </c>
      <c r="D932" s="8" t="str">
        <f>"张杰翠"</f>
        <v>张杰翠</v>
      </c>
      <c r="E932" s="8" t="str">
        <f t="shared" si="34"/>
        <v>女</v>
      </c>
      <c r="F932" s="8" t="str">
        <f>"1993-10-12"</f>
        <v>1993-10-12</v>
      </c>
      <c r="G932" s="9"/>
    </row>
    <row r="933" spans="1:7" ht="13.5">
      <c r="A933" s="7">
        <v>931</v>
      </c>
      <c r="B933" s="8" t="str">
        <f>"2341202009141302493141"</f>
        <v>2341202009141302493141</v>
      </c>
      <c r="C933" s="8" t="s">
        <v>8</v>
      </c>
      <c r="D933" s="8" t="str">
        <f>"邝小艳"</f>
        <v>邝小艳</v>
      </c>
      <c r="E933" s="8" t="str">
        <f t="shared" si="34"/>
        <v>女</v>
      </c>
      <c r="F933" s="8" t="str">
        <f>"1994-02-12"</f>
        <v>1994-02-12</v>
      </c>
      <c r="G933" s="9"/>
    </row>
    <row r="934" spans="1:7" ht="13.5">
      <c r="A934" s="7">
        <v>932</v>
      </c>
      <c r="B934" s="8" t="str">
        <f>"2341202009141306493145"</f>
        <v>2341202009141306493145</v>
      </c>
      <c r="C934" s="8" t="s">
        <v>8</v>
      </c>
      <c r="D934" s="8" t="str">
        <f>"符发琴"</f>
        <v>符发琴</v>
      </c>
      <c r="E934" s="8" t="str">
        <f t="shared" si="34"/>
        <v>女</v>
      </c>
      <c r="F934" s="8" t="str">
        <f>"1995-10-09"</f>
        <v>1995-10-09</v>
      </c>
      <c r="G934" s="9"/>
    </row>
    <row r="935" spans="1:7" ht="13.5">
      <c r="A935" s="7">
        <v>933</v>
      </c>
      <c r="B935" s="8" t="str">
        <f>"2341202009141324583157"</f>
        <v>2341202009141324583157</v>
      </c>
      <c r="C935" s="8" t="s">
        <v>8</v>
      </c>
      <c r="D935" s="8" t="str">
        <f>"黄冠丹"</f>
        <v>黄冠丹</v>
      </c>
      <c r="E935" s="8" t="str">
        <f t="shared" si="34"/>
        <v>女</v>
      </c>
      <c r="F935" s="8" t="str">
        <f>"1994-09-14"</f>
        <v>1994-09-14</v>
      </c>
      <c r="G935" s="9"/>
    </row>
    <row r="936" spans="1:7" ht="13.5">
      <c r="A936" s="7">
        <v>934</v>
      </c>
      <c r="B936" s="8" t="str">
        <f>"2341202009141328423158"</f>
        <v>2341202009141328423158</v>
      </c>
      <c r="C936" s="8" t="s">
        <v>8</v>
      </c>
      <c r="D936" s="8" t="str">
        <f>"赵菊瑞"</f>
        <v>赵菊瑞</v>
      </c>
      <c r="E936" s="8" t="str">
        <f t="shared" si="34"/>
        <v>女</v>
      </c>
      <c r="F936" s="8" t="str">
        <f>"1989-08-02"</f>
        <v>1989-08-02</v>
      </c>
      <c r="G936" s="9"/>
    </row>
    <row r="937" spans="1:7" ht="13.5">
      <c r="A937" s="7">
        <v>935</v>
      </c>
      <c r="B937" s="8" t="str">
        <f>"2341202009141347523165"</f>
        <v>2341202009141347523165</v>
      </c>
      <c r="C937" s="8" t="s">
        <v>8</v>
      </c>
      <c r="D937" s="8" t="str">
        <f>"赵佳莉"</f>
        <v>赵佳莉</v>
      </c>
      <c r="E937" s="8" t="str">
        <f t="shared" si="34"/>
        <v>女</v>
      </c>
      <c r="F937" s="8" t="str">
        <f>"1992-05-18"</f>
        <v>1992-05-18</v>
      </c>
      <c r="G937" s="9"/>
    </row>
    <row r="938" spans="1:7" ht="13.5">
      <c r="A938" s="7">
        <v>936</v>
      </c>
      <c r="B938" s="8" t="str">
        <f>"2341202009141349373166"</f>
        <v>2341202009141349373166</v>
      </c>
      <c r="C938" s="8" t="s">
        <v>8</v>
      </c>
      <c r="D938" s="8" t="str">
        <f>"吴天桂"</f>
        <v>吴天桂</v>
      </c>
      <c r="E938" s="8" t="str">
        <f t="shared" si="34"/>
        <v>女</v>
      </c>
      <c r="F938" s="8" t="str">
        <f>"1997-06-12"</f>
        <v>1997-06-12</v>
      </c>
      <c r="G938" s="9"/>
    </row>
    <row r="939" spans="1:7" ht="13.5">
      <c r="A939" s="7">
        <v>937</v>
      </c>
      <c r="B939" s="8" t="str">
        <f>"2341202009141411013171"</f>
        <v>2341202009141411013171</v>
      </c>
      <c r="C939" s="8" t="s">
        <v>8</v>
      </c>
      <c r="D939" s="8" t="str">
        <f>"邢春露"</f>
        <v>邢春露</v>
      </c>
      <c r="E939" s="8" t="str">
        <f t="shared" si="34"/>
        <v>女</v>
      </c>
      <c r="F939" s="8" t="str">
        <f>"1997-09-23"</f>
        <v>1997-09-23</v>
      </c>
      <c r="G939" s="9"/>
    </row>
    <row r="940" spans="1:7" ht="13.5">
      <c r="A940" s="7">
        <v>938</v>
      </c>
      <c r="B940" s="8" t="str">
        <f>"2341202009141445303186"</f>
        <v>2341202009141445303186</v>
      </c>
      <c r="C940" s="8" t="s">
        <v>8</v>
      </c>
      <c r="D940" s="8" t="str">
        <f>"李娜"</f>
        <v>李娜</v>
      </c>
      <c r="E940" s="8" t="str">
        <f t="shared" si="34"/>
        <v>女</v>
      </c>
      <c r="F940" s="8" t="str">
        <f>"1995-10-18"</f>
        <v>1995-10-18</v>
      </c>
      <c r="G940" s="9"/>
    </row>
    <row r="941" spans="1:7" ht="13.5">
      <c r="A941" s="7">
        <v>939</v>
      </c>
      <c r="B941" s="8" t="str">
        <f>"2341202009141447323187"</f>
        <v>2341202009141447323187</v>
      </c>
      <c r="C941" s="8" t="s">
        <v>8</v>
      </c>
      <c r="D941" s="8" t="str">
        <f>"符冠玉"</f>
        <v>符冠玉</v>
      </c>
      <c r="E941" s="8" t="str">
        <f t="shared" si="34"/>
        <v>女</v>
      </c>
      <c r="F941" s="8" t="str">
        <f>"1992-04-30"</f>
        <v>1992-04-30</v>
      </c>
      <c r="G941" s="9"/>
    </row>
    <row r="942" spans="1:7" ht="13.5">
      <c r="A942" s="7">
        <v>940</v>
      </c>
      <c r="B942" s="8" t="str">
        <f>"2341202009141454013191"</f>
        <v>2341202009141454013191</v>
      </c>
      <c r="C942" s="8" t="s">
        <v>8</v>
      </c>
      <c r="D942" s="8" t="str">
        <f>"董豫琼"</f>
        <v>董豫琼</v>
      </c>
      <c r="E942" s="8" t="str">
        <f t="shared" si="34"/>
        <v>女</v>
      </c>
      <c r="F942" s="8" t="str">
        <f>"1989-06-16"</f>
        <v>1989-06-16</v>
      </c>
      <c r="G942" s="9"/>
    </row>
    <row r="943" spans="1:7" ht="13.5">
      <c r="A943" s="7">
        <v>941</v>
      </c>
      <c r="B943" s="8" t="str">
        <f>"2341202009141454213194"</f>
        <v>2341202009141454213194</v>
      </c>
      <c r="C943" s="8" t="s">
        <v>8</v>
      </c>
      <c r="D943" s="8" t="str">
        <f>"梁宝妮"</f>
        <v>梁宝妮</v>
      </c>
      <c r="E943" s="8" t="str">
        <f aca="true" t="shared" si="35" ref="E943:E953">"女"</f>
        <v>女</v>
      </c>
      <c r="F943" s="8" t="str">
        <f>"1993-10-07"</f>
        <v>1993-10-07</v>
      </c>
      <c r="G943" s="9"/>
    </row>
    <row r="944" spans="1:7" ht="13.5">
      <c r="A944" s="7">
        <v>942</v>
      </c>
      <c r="B944" s="8" t="str">
        <f>"2341202009141459193197"</f>
        <v>2341202009141459193197</v>
      </c>
      <c r="C944" s="8" t="s">
        <v>8</v>
      </c>
      <c r="D944" s="8" t="str">
        <f>"梁亚英"</f>
        <v>梁亚英</v>
      </c>
      <c r="E944" s="8" t="str">
        <f t="shared" si="35"/>
        <v>女</v>
      </c>
      <c r="F944" s="8" t="str">
        <f>"1993-07-12"</f>
        <v>1993-07-12</v>
      </c>
      <c r="G944" s="9"/>
    </row>
    <row r="945" spans="1:7" ht="13.5">
      <c r="A945" s="7">
        <v>943</v>
      </c>
      <c r="B945" s="8" t="str">
        <f>"2341202009141501233198"</f>
        <v>2341202009141501233198</v>
      </c>
      <c r="C945" s="8" t="s">
        <v>8</v>
      </c>
      <c r="D945" s="8" t="str">
        <f>"沈俊宏"</f>
        <v>沈俊宏</v>
      </c>
      <c r="E945" s="8" t="str">
        <f t="shared" si="35"/>
        <v>女</v>
      </c>
      <c r="F945" s="8" t="str">
        <f>"1994-07-09"</f>
        <v>1994-07-09</v>
      </c>
      <c r="G945" s="9"/>
    </row>
    <row r="946" spans="1:7" ht="13.5">
      <c r="A946" s="7">
        <v>944</v>
      </c>
      <c r="B946" s="8" t="str">
        <f>"2341202009141506483203"</f>
        <v>2341202009141506483203</v>
      </c>
      <c r="C946" s="8" t="s">
        <v>8</v>
      </c>
      <c r="D946" s="8" t="str">
        <f>"黄慧燕"</f>
        <v>黄慧燕</v>
      </c>
      <c r="E946" s="8" t="str">
        <f t="shared" si="35"/>
        <v>女</v>
      </c>
      <c r="F946" s="8" t="str">
        <f>"1989-12-05"</f>
        <v>1989-12-05</v>
      </c>
      <c r="G946" s="9"/>
    </row>
    <row r="947" spans="1:7" ht="13.5">
      <c r="A947" s="7">
        <v>945</v>
      </c>
      <c r="B947" s="8" t="str">
        <f>"2341202009141513223206"</f>
        <v>2341202009141513223206</v>
      </c>
      <c r="C947" s="8" t="s">
        <v>8</v>
      </c>
      <c r="D947" s="8" t="str">
        <f>"吴梦芸"</f>
        <v>吴梦芸</v>
      </c>
      <c r="E947" s="8" t="str">
        <f t="shared" si="35"/>
        <v>女</v>
      </c>
      <c r="F947" s="8" t="str">
        <f>"1996-10-03"</f>
        <v>1996-10-03</v>
      </c>
      <c r="G947" s="9"/>
    </row>
    <row r="948" spans="1:7" ht="13.5">
      <c r="A948" s="7">
        <v>946</v>
      </c>
      <c r="B948" s="8" t="str">
        <f>"2341202009141530283217"</f>
        <v>2341202009141530283217</v>
      </c>
      <c r="C948" s="8" t="s">
        <v>8</v>
      </c>
      <c r="D948" s="8" t="str">
        <f>"王宇"</f>
        <v>王宇</v>
      </c>
      <c r="E948" s="8" t="str">
        <f t="shared" si="35"/>
        <v>女</v>
      </c>
      <c r="F948" s="8" t="str">
        <f>"1997-01-06"</f>
        <v>1997-01-06</v>
      </c>
      <c r="G948" s="9"/>
    </row>
    <row r="949" spans="1:7" ht="13.5">
      <c r="A949" s="7">
        <v>947</v>
      </c>
      <c r="B949" s="8" t="str">
        <f>"2341202009141536453222"</f>
        <v>2341202009141536453222</v>
      </c>
      <c r="C949" s="8" t="s">
        <v>8</v>
      </c>
      <c r="D949" s="8" t="str">
        <f>"李映慧"</f>
        <v>李映慧</v>
      </c>
      <c r="E949" s="8" t="str">
        <f t="shared" si="35"/>
        <v>女</v>
      </c>
      <c r="F949" s="8" t="str">
        <f>"1996-05-02"</f>
        <v>1996-05-02</v>
      </c>
      <c r="G949" s="9"/>
    </row>
    <row r="950" spans="1:7" ht="13.5">
      <c r="A950" s="7">
        <v>948</v>
      </c>
      <c r="B950" s="8" t="str">
        <f>"2341202009141547493228"</f>
        <v>2341202009141547493228</v>
      </c>
      <c r="C950" s="8" t="s">
        <v>8</v>
      </c>
      <c r="D950" s="8" t="str">
        <f>"李月莹"</f>
        <v>李月莹</v>
      </c>
      <c r="E950" s="8" t="str">
        <f t="shared" si="35"/>
        <v>女</v>
      </c>
      <c r="F950" s="8" t="str">
        <f>"1998-10-02"</f>
        <v>1998-10-02</v>
      </c>
      <c r="G950" s="9"/>
    </row>
    <row r="951" spans="1:7" ht="13.5">
      <c r="A951" s="7">
        <v>949</v>
      </c>
      <c r="B951" s="8" t="str">
        <f>"2341202009141614173241"</f>
        <v>2341202009141614173241</v>
      </c>
      <c r="C951" s="8" t="s">
        <v>8</v>
      </c>
      <c r="D951" s="8" t="str">
        <f>"伍美若"</f>
        <v>伍美若</v>
      </c>
      <c r="E951" s="8" t="str">
        <f t="shared" si="35"/>
        <v>女</v>
      </c>
      <c r="F951" s="8" t="str">
        <f>"1994-09-12"</f>
        <v>1994-09-12</v>
      </c>
      <c r="G951" s="9"/>
    </row>
    <row r="952" spans="1:7" ht="13.5">
      <c r="A952" s="7">
        <v>950</v>
      </c>
      <c r="B952" s="8" t="str">
        <f>"2341202009141618343245"</f>
        <v>2341202009141618343245</v>
      </c>
      <c r="C952" s="8" t="s">
        <v>8</v>
      </c>
      <c r="D952" s="8" t="str">
        <f>"王川兰"</f>
        <v>王川兰</v>
      </c>
      <c r="E952" s="8" t="str">
        <f t="shared" si="35"/>
        <v>女</v>
      </c>
      <c r="F952" s="8" t="str">
        <f>"1997-06-06"</f>
        <v>1997-06-06</v>
      </c>
      <c r="G952" s="9"/>
    </row>
    <row r="953" spans="1:7" ht="13.5">
      <c r="A953" s="7">
        <v>951</v>
      </c>
      <c r="B953" s="8" t="str">
        <f>"2341202009141622313248"</f>
        <v>2341202009141622313248</v>
      </c>
      <c r="C953" s="8" t="s">
        <v>8</v>
      </c>
      <c r="D953" s="8" t="str">
        <f>"梁嘉持"</f>
        <v>梁嘉持</v>
      </c>
      <c r="E953" s="8" t="str">
        <f t="shared" si="35"/>
        <v>女</v>
      </c>
      <c r="F953" s="8" t="str">
        <f>"1997-04-09"</f>
        <v>1997-04-09</v>
      </c>
      <c r="G953" s="9"/>
    </row>
    <row r="954" spans="1:7" ht="13.5">
      <c r="A954" s="7">
        <v>952</v>
      </c>
      <c r="B954" s="8" t="str">
        <f>"2341202009141637323254"</f>
        <v>2341202009141637323254</v>
      </c>
      <c r="C954" s="8" t="s">
        <v>8</v>
      </c>
      <c r="D954" s="8" t="str">
        <f>"黄合欢"</f>
        <v>黄合欢</v>
      </c>
      <c r="E954" s="8" t="str">
        <f>"男"</f>
        <v>男</v>
      </c>
      <c r="F954" s="8" t="str">
        <f>"1989-09-25"</f>
        <v>1989-09-25</v>
      </c>
      <c r="G954" s="9"/>
    </row>
    <row r="955" spans="1:7" ht="13.5">
      <c r="A955" s="7">
        <v>953</v>
      </c>
      <c r="B955" s="8" t="str">
        <f>"2341202008310901233"</f>
        <v>2341202008310901233</v>
      </c>
      <c r="C955" s="8" t="s">
        <v>9</v>
      </c>
      <c r="D955" s="8" t="str">
        <f>"刘晓敏"</f>
        <v>刘晓敏</v>
      </c>
      <c r="E955" s="8" t="str">
        <f aca="true" t="shared" si="36" ref="E955:E977">"女"</f>
        <v>女</v>
      </c>
      <c r="F955" s="8" t="str">
        <f>"1997-05-09"</f>
        <v>1997-05-09</v>
      </c>
      <c r="G955" s="9"/>
    </row>
    <row r="956" spans="1:7" ht="13.5">
      <c r="A956" s="7">
        <v>954</v>
      </c>
      <c r="B956" s="8" t="str">
        <f>"2341202008310901555"</f>
        <v>2341202008310901555</v>
      </c>
      <c r="C956" s="8" t="s">
        <v>9</v>
      </c>
      <c r="D956" s="8" t="str">
        <f>"陈秋蕾"</f>
        <v>陈秋蕾</v>
      </c>
      <c r="E956" s="8" t="str">
        <f t="shared" si="36"/>
        <v>女</v>
      </c>
      <c r="F956" s="8" t="str">
        <f>"1993-06-04"</f>
        <v>1993-06-04</v>
      </c>
      <c r="G956" s="9"/>
    </row>
    <row r="957" spans="1:7" ht="13.5">
      <c r="A957" s="7">
        <v>955</v>
      </c>
      <c r="B957" s="8" t="str">
        <f>"23412020083109064810"</f>
        <v>23412020083109064810</v>
      </c>
      <c r="C957" s="8" t="s">
        <v>9</v>
      </c>
      <c r="D957" s="8" t="str">
        <f>"黄芝妍"</f>
        <v>黄芝妍</v>
      </c>
      <c r="E957" s="8" t="str">
        <f t="shared" si="36"/>
        <v>女</v>
      </c>
      <c r="F957" s="8" t="str">
        <f>"1995-09-29"</f>
        <v>1995-09-29</v>
      </c>
      <c r="G957" s="9"/>
    </row>
    <row r="958" spans="1:7" ht="13.5">
      <c r="A958" s="7">
        <v>956</v>
      </c>
      <c r="B958" s="8" t="str">
        <f>"23412020083109084912"</f>
        <v>23412020083109084912</v>
      </c>
      <c r="C958" s="8" t="s">
        <v>9</v>
      </c>
      <c r="D958" s="8" t="str">
        <f>"郭小慧"</f>
        <v>郭小慧</v>
      </c>
      <c r="E958" s="8" t="str">
        <f t="shared" si="36"/>
        <v>女</v>
      </c>
      <c r="F958" s="8" t="str">
        <f>"1996-05-29"</f>
        <v>1996-05-29</v>
      </c>
      <c r="G958" s="9"/>
    </row>
    <row r="959" spans="1:7" ht="13.5">
      <c r="A959" s="7">
        <v>957</v>
      </c>
      <c r="B959" s="8" t="str">
        <f>"23412020083109115616"</f>
        <v>23412020083109115616</v>
      </c>
      <c r="C959" s="8" t="s">
        <v>9</v>
      </c>
      <c r="D959" s="8" t="str">
        <f>"黄雯佳"</f>
        <v>黄雯佳</v>
      </c>
      <c r="E959" s="8" t="str">
        <f t="shared" si="36"/>
        <v>女</v>
      </c>
      <c r="F959" s="8" t="str">
        <f>"1998-03-11"</f>
        <v>1998-03-11</v>
      </c>
      <c r="G959" s="9"/>
    </row>
    <row r="960" spans="1:7" ht="13.5">
      <c r="A960" s="7">
        <v>958</v>
      </c>
      <c r="B960" s="8" t="str">
        <f>"23412020083109120017"</f>
        <v>23412020083109120017</v>
      </c>
      <c r="C960" s="8" t="s">
        <v>9</v>
      </c>
      <c r="D960" s="8" t="str">
        <f>"黄小娜"</f>
        <v>黄小娜</v>
      </c>
      <c r="E960" s="8" t="str">
        <f t="shared" si="36"/>
        <v>女</v>
      </c>
      <c r="F960" s="8" t="str">
        <f>"1994-01-06"</f>
        <v>1994-01-06</v>
      </c>
      <c r="G960" s="9"/>
    </row>
    <row r="961" spans="1:7" ht="13.5">
      <c r="A961" s="7">
        <v>959</v>
      </c>
      <c r="B961" s="8" t="str">
        <f>"23412020083109125419"</f>
        <v>23412020083109125419</v>
      </c>
      <c r="C961" s="8" t="s">
        <v>9</v>
      </c>
      <c r="D961" s="8" t="str">
        <f>"蔡伟兰"</f>
        <v>蔡伟兰</v>
      </c>
      <c r="E961" s="8" t="str">
        <f t="shared" si="36"/>
        <v>女</v>
      </c>
      <c r="F961" s="8" t="str">
        <f>"1991-05-30"</f>
        <v>1991-05-30</v>
      </c>
      <c r="G961" s="9"/>
    </row>
    <row r="962" spans="1:7" ht="13.5">
      <c r="A962" s="7">
        <v>960</v>
      </c>
      <c r="B962" s="8" t="str">
        <f>"23412020083109163721"</f>
        <v>23412020083109163721</v>
      </c>
      <c r="C962" s="8" t="s">
        <v>9</v>
      </c>
      <c r="D962" s="8" t="str">
        <f>"葛缤蔓"</f>
        <v>葛缤蔓</v>
      </c>
      <c r="E962" s="8" t="str">
        <f t="shared" si="36"/>
        <v>女</v>
      </c>
      <c r="F962" s="8" t="str">
        <f>"1997-06-13"</f>
        <v>1997-06-13</v>
      </c>
      <c r="G962" s="9"/>
    </row>
    <row r="963" spans="1:7" ht="13.5">
      <c r="A963" s="7">
        <v>961</v>
      </c>
      <c r="B963" s="8" t="str">
        <f>"23412020083109183924"</f>
        <v>23412020083109183924</v>
      </c>
      <c r="C963" s="8" t="s">
        <v>9</v>
      </c>
      <c r="D963" s="8" t="str">
        <f>"王丹"</f>
        <v>王丹</v>
      </c>
      <c r="E963" s="8" t="str">
        <f t="shared" si="36"/>
        <v>女</v>
      </c>
      <c r="F963" s="8" t="str">
        <f>"1992-05-25"</f>
        <v>1992-05-25</v>
      </c>
      <c r="G963" s="9"/>
    </row>
    <row r="964" spans="1:7" ht="13.5">
      <c r="A964" s="7">
        <v>962</v>
      </c>
      <c r="B964" s="8" t="str">
        <f>"23412020083109240229"</f>
        <v>23412020083109240229</v>
      </c>
      <c r="C964" s="8" t="s">
        <v>9</v>
      </c>
      <c r="D964" s="8" t="str">
        <f>"符亚菊"</f>
        <v>符亚菊</v>
      </c>
      <c r="E964" s="8" t="str">
        <f t="shared" si="36"/>
        <v>女</v>
      </c>
      <c r="F964" s="8" t="str">
        <f>"1997-06-19"</f>
        <v>1997-06-19</v>
      </c>
      <c r="G964" s="9"/>
    </row>
    <row r="965" spans="1:7" ht="13.5">
      <c r="A965" s="7">
        <v>963</v>
      </c>
      <c r="B965" s="8" t="str">
        <f>"23412020083109241530"</f>
        <v>23412020083109241530</v>
      </c>
      <c r="C965" s="8" t="s">
        <v>9</v>
      </c>
      <c r="D965" s="8" t="str">
        <f>"林梅"</f>
        <v>林梅</v>
      </c>
      <c r="E965" s="8" t="str">
        <f t="shared" si="36"/>
        <v>女</v>
      </c>
      <c r="F965" s="8" t="str">
        <f>"1996-12"</f>
        <v>1996-12</v>
      </c>
      <c r="G965" s="9"/>
    </row>
    <row r="966" spans="1:7" ht="13.5">
      <c r="A966" s="7">
        <v>964</v>
      </c>
      <c r="B966" s="8" t="str">
        <f>"23412020083109242331"</f>
        <v>23412020083109242331</v>
      </c>
      <c r="C966" s="8" t="s">
        <v>9</v>
      </c>
      <c r="D966" s="8" t="str">
        <f>"刘伟畅"</f>
        <v>刘伟畅</v>
      </c>
      <c r="E966" s="8" t="str">
        <f t="shared" si="36"/>
        <v>女</v>
      </c>
      <c r="F966" s="8" t="str">
        <f>"1998-04-29"</f>
        <v>1998-04-29</v>
      </c>
      <c r="G966" s="9"/>
    </row>
    <row r="967" spans="1:7" ht="13.5">
      <c r="A967" s="7">
        <v>965</v>
      </c>
      <c r="B967" s="8" t="str">
        <f>"23412020083109264436"</f>
        <v>23412020083109264436</v>
      </c>
      <c r="C967" s="8" t="s">
        <v>9</v>
      </c>
      <c r="D967" s="8" t="str">
        <f>"林香"</f>
        <v>林香</v>
      </c>
      <c r="E967" s="8" t="str">
        <f t="shared" si="36"/>
        <v>女</v>
      </c>
      <c r="F967" s="8" t="str">
        <f>"1996-12-17"</f>
        <v>1996-12-17</v>
      </c>
      <c r="G967" s="9"/>
    </row>
    <row r="968" spans="1:7" ht="13.5">
      <c r="A968" s="7">
        <v>966</v>
      </c>
      <c r="B968" s="8" t="str">
        <f>"23412020083109272838"</f>
        <v>23412020083109272838</v>
      </c>
      <c r="C968" s="8" t="s">
        <v>9</v>
      </c>
      <c r="D968" s="8" t="str">
        <f>"蔡树娇"</f>
        <v>蔡树娇</v>
      </c>
      <c r="E968" s="8" t="str">
        <f t="shared" si="36"/>
        <v>女</v>
      </c>
      <c r="F968" s="8" t="str">
        <f>"1997-07-10"</f>
        <v>1997-07-10</v>
      </c>
      <c r="G968" s="9"/>
    </row>
    <row r="969" spans="1:7" ht="13.5">
      <c r="A969" s="7">
        <v>967</v>
      </c>
      <c r="B969" s="8" t="str">
        <f>"23412020083109275839"</f>
        <v>23412020083109275839</v>
      </c>
      <c r="C969" s="8" t="s">
        <v>9</v>
      </c>
      <c r="D969" s="8" t="str">
        <f>"黄方"</f>
        <v>黄方</v>
      </c>
      <c r="E969" s="8" t="str">
        <f t="shared" si="36"/>
        <v>女</v>
      </c>
      <c r="F969" s="8" t="str">
        <f>"1999-07-13"</f>
        <v>1999-07-13</v>
      </c>
      <c r="G969" s="9"/>
    </row>
    <row r="970" spans="1:7" ht="13.5">
      <c r="A970" s="7">
        <v>968</v>
      </c>
      <c r="B970" s="8" t="str">
        <f>"23412020083109310942"</f>
        <v>23412020083109310942</v>
      </c>
      <c r="C970" s="8" t="s">
        <v>9</v>
      </c>
      <c r="D970" s="8" t="str">
        <f>"党萍"</f>
        <v>党萍</v>
      </c>
      <c r="E970" s="8" t="str">
        <f t="shared" si="36"/>
        <v>女</v>
      </c>
      <c r="F970" s="8" t="str">
        <f>"1985-02-04"</f>
        <v>1985-02-04</v>
      </c>
      <c r="G970" s="9"/>
    </row>
    <row r="971" spans="1:7" ht="13.5">
      <c r="A971" s="7">
        <v>969</v>
      </c>
      <c r="B971" s="8" t="str">
        <f>"23412020083109332244"</f>
        <v>23412020083109332244</v>
      </c>
      <c r="C971" s="8" t="s">
        <v>9</v>
      </c>
      <c r="D971" s="8" t="str">
        <f>"黄彩蝶"</f>
        <v>黄彩蝶</v>
      </c>
      <c r="E971" s="8" t="str">
        <f t="shared" si="36"/>
        <v>女</v>
      </c>
      <c r="F971" s="8" t="str">
        <f>"1990-02-25"</f>
        <v>1990-02-25</v>
      </c>
      <c r="G971" s="9"/>
    </row>
    <row r="972" spans="1:7" ht="13.5">
      <c r="A972" s="7">
        <v>970</v>
      </c>
      <c r="B972" s="8" t="str">
        <f>"23412020083109363345"</f>
        <v>23412020083109363345</v>
      </c>
      <c r="C972" s="8" t="s">
        <v>9</v>
      </c>
      <c r="D972" s="8" t="str">
        <f>"岑春平"</f>
        <v>岑春平</v>
      </c>
      <c r="E972" s="8" t="str">
        <f t="shared" si="36"/>
        <v>女</v>
      </c>
      <c r="F972" s="8" t="str">
        <f>"1993-12-25"</f>
        <v>1993-12-25</v>
      </c>
      <c r="G972" s="9"/>
    </row>
    <row r="973" spans="1:7" ht="13.5">
      <c r="A973" s="7">
        <v>971</v>
      </c>
      <c r="B973" s="8" t="str">
        <f>"23412020083109381246"</f>
        <v>23412020083109381246</v>
      </c>
      <c r="C973" s="8" t="s">
        <v>9</v>
      </c>
      <c r="D973" s="8" t="str">
        <f>"于珊珊"</f>
        <v>于珊珊</v>
      </c>
      <c r="E973" s="8" t="str">
        <f t="shared" si="36"/>
        <v>女</v>
      </c>
      <c r="F973" s="8" t="str">
        <f>"1994-02-12"</f>
        <v>1994-02-12</v>
      </c>
      <c r="G973" s="9"/>
    </row>
    <row r="974" spans="1:7" ht="13.5">
      <c r="A974" s="7">
        <v>972</v>
      </c>
      <c r="B974" s="8" t="str">
        <f>"23412020083109400848"</f>
        <v>23412020083109400848</v>
      </c>
      <c r="C974" s="8" t="s">
        <v>9</v>
      </c>
      <c r="D974" s="8" t="str">
        <f>"黄小灵"</f>
        <v>黄小灵</v>
      </c>
      <c r="E974" s="8" t="str">
        <f t="shared" si="36"/>
        <v>女</v>
      </c>
      <c r="F974" s="8" t="str">
        <f>"1995-11-29"</f>
        <v>1995-11-29</v>
      </c>
      <c r="G974" s="9"/>
    </row>
    <row r="975" spans="1:7" ht="13.5">
      <c r="A975" s="7">
        <v>973</v>
      </c>
      <c r="B975" s="8" t="str">
        <f>"23412020083109482060"</f>
        <v>23412020083109482060</v>
      </c>
      <c r="C975" s="8" t="s">
        <v>9</v>
      </c>
      <c r="D975" s="8" t="str">
        <f>"陈垂宽"</f>
        <v>陈垂宽</v>
      </c>
      <c r="E975" s="8" t="str">
        <f t="shared" si="36"/>
        <v>女</v>
      </c>
      <c r="F975" s="8" t="str">
        <f>"1988-04-16"</f>
        <v>1988-04-16</v>
      </c>
      <c r="G975" s="9"/>
    </row>
    <row r="976" spans="1:7" ht="13.5">
      <c r="A976" s="7">
        <v>974</v>
      </c>
      <c r="B976" s="8" t="str">
        <f>"23412020083109495662"</f>
        <v>23412020083109495662</v>
      </c>
      <c r="C976" s="8" t="s">
        <v>9</v>
      </c>
      <c r="D976" s="8" t="str">
        <f>"王彩霞"</f>
        <v>王彩霞</v>
      </c>
      <c r="E976" s="8" t="str">
        <f t="shared" si="36"/>
        <v>女</v>
      </c>
      <c r="F976" s="8" t="str">
        <f>"1991-01-02"</f>
        <v>1991-01-02</v>
      </c>
      <c r="G976" s="9"/>
    </row>
    <row r="977" spans="1:7" ht="13.5">
      <c r="A977" s="7">
        <v>975</v>
      </c>
      <c r="B977" s="8" t="str">
        <f>"23412020083109525465"</f>
        <v>23412020083109525465</v>
      </c>
      <c r="C977" s="8" t="s">
        <v>9</v>
      </c>
      <c r="D977" s="8" t="str">
        <f>"陈川卉"</f>
        <v>陈川卉</v>
      </c>
      <c r="E977" s="8" t="str">
        <f t="shared" si="36"/>
        <v>女</v>
      </c>
      <c r="F977" s="8" t="str">
        <f>"1991-09-20"</f>
        <v>1991-09-20</v>
      </c>
      <c r="G977" s="9"/>
    </row>
    <row r="978" spans="1:7" ht="13.5">
      <c r="A978" s="7">
        <v>976</v>
      </c>
      <c r="B978" s="8" t="str">
        <f>"23412020083109535866"</f>
        <v>23412020083109535866</v>
      </c>
      <c r="C978" s="8" t="s">
        <v>9</v>
      </c>
      <c r="D978" s="8" t="str">
        <f>"柯桃汉"</f>
        <v>柯桃汉</v>
      </c>
      <c r="E978" s="8" t="str">
        <f>"男"</f>
        <v>男</v>
      </c>
      <c r="F978" s="8" t="str">
        <f>"1988-11-01"</f>
        <v>1988-11-01</v>
      </c>
      <c r="G978" s="9"/>
    </row>
    <row r="979" spans="1:7" ht="13.5">
      <c r="A979" s="7">
        <v>977</v>
      </c>
      <c r="B979" s="8" t="str">
        <f>"23412020083109570673"</f>
        <v>23412020083109570673</v>
      </c>
      <c r="C979" s="8" t="s">
        <v>9</v>
      </c>
      <c r="D979" s="8" t="str">
        <f>"陈秋可"</f>
        <v>陈秋可</v>
      </c>
      <c r="E979" s="8" t="str">
        <f>"女"</f>
        <v>女</v>
      </c>
      <c r="F979" s="8" t="str">
        <f>"1995-11-30"</f>
        <v>1995-11-30</v>
      </c>
      <c r="G979" s="9"/>
    </row>
    <row r="980" spans="1:7" ht="13.5">
      <c r="A980" s="7">
        <v>978</v>
      </c>
      <c r="B980" s="8" t="str">
        <f>"23412020083109581574"</f>
        <v>23412020083109581574</v>
      </c>
      <c r="C980" s="8" t="s">
        <v>9</v>
      </c>
      <c r="D980" s="8" t="str">
        <f>"方其财"</f>
        <v>方其财</v>
      </c>
      <c r="E980" s="8" t="str">
        <f>"女"</f>
        <v>女</v>
      </c>
      <c r="F980" s="8" t="str">
        <f>"1995-07-05"</f>
        <v>1995-07-05</v>
      </c>
      <c r="G980" s="9"/>
    </row>
    <row r="981" spans="1:7" ht="13.5">
      <c r="A981" s="7">
        <v>979</v>
      </c>
      <c r="B981" s="8" t="str">
        <f>"23412020083110021382"</f>
        <v>23412020083110021382</v>
      </c>
      <c r="C981" s="8" t="s">
        <v>9</v>
      </c>
      <c r="D981" s="8" t="str">
        <f>"陈美鸾"</f>
        <v>陈美鸾</v>
      </c>
      <c r="E981" s="8" t="str">
        <f>"女"</f>
        <v>女</v>
      </c>
      <c r="F981" s="8" t="str">
        <f>"1997-08-03"</f>
        <v>1997-08-03</v>
      </c>
      <c r="G981" s="9"/>
    </row>
    <row r="982" spans="1:7" ht="13.5">
      <c r="A982" s="7">
        <v>980</v>
      </c>
      <c r="B982" s="8" t="str">
        <f>"23412020083110034084"</f>
        <v>23412020083110034084</v>
      </c>
      <c r="C982" s="8" t="s">
        <v>9</v>
      </c>
      <c r="D982" s="8" t="str">
        <f>"徐晓春"</f>
        <v>徐晓春</v>
      </c>
      <c r="E982" s="8" t="str">
        <f>"女"</f>
        <v>女</v>
      </c>
      <c r="F982" s="8" t="str">
        <f>"1998-01-25"</f>
        <v>1998-01-25</v>
      </c>
      <c r="G982" s="9"/>
    </row>
    <row r="983" spans="1:7" ht="13.5">
      <c r="A983" s="7">
        <v>981</v>
      </c>
      <c r="B983" s="8" t="str">
        <f>"23412020083110044889"</f>
        <v>23412020083110044889</v>
      </c>
      <c r="C983" s="8" t="s">
        <v>9</v>
      </c>
      <c r="D983" s="8" t="str">
        <f>"吕淑吉"</f>
        <v>吕淑吉</v>
      </c>
      <c r="E983" s="8" t="str">
        <f>"女"</f>
        <v>女</v>
      </c>
      <c r="F983" s="8" t="str">
        <f>"1989-12-01"</f>
        <v>1989-12-01</v>
      </c>
      <c r="G983" s="9"/>
    </row>
    <row r="984" spans="1:7" ht="13.5">
      <c r="A984" s="7">
        <v>982</v>
      </c>
      <c r="B984" s="8" t="str">
        <f>"23412020083110074692"</f>
        <v>23412020083110074692</v>
      </c>
      <c r="C984" s="8" t="s">
        <v>9</v>
      </c>
      <c r="D984" s="8" t="str">
        <f>"张昌麒"</f>
        <v>张昌麒</v>
      </c>
      <c r="E984" s="8" t="str">
        <f>"男"</f>
        <v>男</v>
      </c>
      <c r="F984" s="8" t="str">
        <f>"1994-05-02"</f>
        <v>1994-05-02</v>
      </c>
      <c r="G984" s="9"/>
    </row>
    <row r="985" spans="1:7" ht="13.5">
      <c r="A985" s="7">
        <v>983</v>
      </c>
      <c r="B985" s="8" t="str">
        <f>"234120200831101218100"</f>
        <v>234120200831101218100</v>
      </c>
      <c r="C985" s="8" t="s">
        <v>9</v>
      </c>
      <c r="D985" s="8" t="str">
        <f>"金玲玲"</f>
        <v>金玲玲</v>
      </c>
      <c r="E985" s="8" t="str">
        <f aca="true" t="shared" si="37" ref="E985:E998">"女"</f>
        <v>女</v>
      </c>
      <c r="F985" s="8" t="str">
        <f>"1986-03-06"</f>
        <v>1986-03-06</v>
      </c>
      <c r="G985" s="9"/>
    </row>
    <row r="986" spans="1:7" ht="13.5">
      <c r="A986" s="7">
        <v>984</v>
      </c>
      <c r="B986" s="8" t="str">
        <f>"234120200831101701102"</f>
        <v>234120200831101701102</v>
      </c>
      <c r="C986" s="8" t="s">
        <v>9</v>
      </c>
      <c r="D986" s="8" t="str">
        <f>"王梦茹"</f>
        <v>王梦茹</v>
      </c>
      <c r="E986" s="8" t="str">
        <f t="shared" si="37"/>
        <v>女</v>
      </c>
      <c r="F986" s="8" t="str">
        <f>"1998-01-06"</f>
        <v>1998-01-06</v>
      </c>
      <c r="G986" s="9"/>
    </row>
    <row r="987" spans="1:7" ht="13.5">
      <c r="A987" s="7">
        <v>985</v>
      </c>
      <c r="B987" s="8" t="str">
        <f>"234120200831101803104"</f>
        <v>234120200831101803104</v>
      </c>
      <c r="C987" s="8" t="s">
        <v>9</v>
      </c>
      <c r="D987" s="8" t="str">
        <f>"苏琼绿"</f>
        <v>苏琼绿</v>
      </c>
      <c r="E987" s="8" t="str">
        <f t="shared" si="37"/>
        <v>女</v>
      </c>
      <c r="F987" s="8" t="str">
        <f>"1995-08-20"</f>
        <v>1995-08-20</v>
      </c>
      <c r="G987" s="9"/>
    </row>
    <row r="988" spans="1:7" ht="13.5">
      <c r="A988" s="7">
        <v>986</v>
      </c>
      <c r="B988" s="8" t="str">
        <f>"234120200831102154112"</f>
        <v>234120200831102154112</v>
      </c>
      <c r="C988" s="8" t="s">
        <v>9</v>
      </c>
      <c r="D988" s="8" t="str">
        <f>"吴连娟"</f>
        <v>吴连娟</v>
      </c>
      <c r="E988" s="8" t="str">
        <f t="shared" si="37"/>
        <v>女</v>
      </c>
      <c r="F988" s="8" t="str">
        <f>"1995-07-05"</f>
        <v>1995-07-05</v>
      </c>
      <c r="G988" s="9"/>
    </row>
    <row r="989" spans="1:7" ht="13.5">
      <c r="A989" s="7">
        <v>987</v>
      </c>
      <c r="B989" s="8" t="str">
        <f>"234120200831102314116"</f>
        <v>234120200831102314116</v>
      </c>
      <c r="C989" s="8" t="s">
        <v>9</v>
      </c>
      <c r="D989" s="8" t="str">
        <f>"袁梦杰"</f>
        <v>袁梦杰</v>
      </c>
      <c r="E989" s="8" t="str">
        <f t="shared" si="37"/>
        <v>女</v>
      </c>
      <c r="F989" s="8" t="str">
        <f>"1994-07-04"</f>
        <v>1994-07-04</v>
      </c>
      <c r="G989" s="9"/>
    </row>
    <row r="990" spans="1:7" ht="13.5">
      <c r="A990" s="7">
        <v>988</v>
      </c>
      <c r="B990" s="8" t="str">
        <f>"234120200831102344118"</f>
        <v>234120200831102344118</v>
      </c>
      <c r="C990" s="8" t="s">
        <v>9</v>
      </c>
      <c r="D990" s="8" t="str">
        <f>"池景华"</f>
        <v>池景华</v>
      </c>
      <c r="E990" s="8" t="str">
        <f t="shared" si="37"/>
        <v>女</v>
      </c>
      <c r="F990" s="8" t="str">
        <f>"1996-03-24"</f>
        <v>1996-03-24</v>
      </c>
      <c r="G990" s="9"/>
    </row>
    <row r="991" spans="1:7" ht="13.5">
      <c r="A991" s="7">
        <v>989</v>
      </c>
      <c r="B991" s="8" t="str">
        <f>"234120200831102400119"</f>
        <v>234120200831102400119</v>
      </c>
      <c r="C991" s="8" t="s">
        <v>9</v>
      </c>
      <c r="D991" s="8" t="str">
        <f>"黄小怀"</f>
        <v>黄小怀</v>
      </c>
      <c r="E991" s="8" t="str">
        <f t="shared" si="37"/>
        <v>女</v>
      </c>
      <c r="F991" s="8" t="str">
        <f>"1997-09-30"</f>
        <v>1997-09-30</v>
      </c>
      <c r="G991" s="9"/>
    </row>
    <row r="992" spans="1:7" ht="13.5">
      <c r="A992" s="7">
        <v>990</v>
      </c>
      <c r="B992" s="8" t="str">
        <f>"234120200831103743131"</f>
        <v>234120200831103743131</v>
      </c>
      <c r="C992" s="8" t="s">
        <v>9</v>
      </c>
      <c r="D992" s="8" t="str">
        <f>"梁丽云"</f>
        <v>梁丽云</v>
      </c>
      <c r="E992" s="8" t="str">
        <f t="shared" si="37"/>
        <v>女</v>
      </c>
      <c r="F992" s="8" t="str">
        <f>"1992-06-18"</f>
        <v>1992-06-18</v>
      </c>
      <c r="G992" s="9"/>
    </row>
    <row r="993" spans="1:7" ht="13.5">
      <c r="A993" s="7">
        <v>991</v>
      </c>
      <c r="B993" s="8" t="str">
        <f>"234120200831104030135"</f>
        <v>234120200831104030135</v>
      </c>
      <c r="C993" s="8" t="s">
        <v>9</v>
      </c>
      <c r="D993" s="8" t="str">
        <f>"郝小敏"</f>
        <v>郝小敏</v>
      </c>
      <c r="E993" s="8" t="str">
        <f t="shared" si="37"/>
        <v>女</v>
      </c>
      <c r="F993" s="8" t="str">
        <f>"1990-06-05"</f>
        <v>1990-06-05</v>
      </c>
      <c r="G993" s="9"/>
    </row>
    <row r="994" spans="1:7" ht="13.5">
      <c r="A994" s="7">
        <v>992</v>
      </c>
      <c r="B994" s="8" t="str">
        <f>"234120200831104154137"</f>
        <v>234120200831104154137</v>
      </c>
      <c r="C994" s="8" t="s">
        <v>9</v>
      </c>
      <c r="D994" s="8" t="str">
        <f>"杨克沙"</f>
        <v>杨克沙</v>
      </c>
      <c r="E994" s="8" t="str">
        <f t="shared" si="37"/>
        <v>女</v>
      </c>
      <c r="F994" s="8" t="str">
        <f>"1993-07-03"</f>
        <v>1993-07-03</v>
      </c>
      <c r="G994" s="9"/>
    </row>
    <row r="995" spans="1:7" ht="13.5">
      <c r="A995" s="7">
        <v>993</v>
      </c>
      <c r="B995" s="8" t="str">
        <f>"234120200831104223139"</f>
        <v>234120200831104223139</v>
      </c>
      <c r="C995" s="8" t="s">
        <v>9</v>
      </c>
      <c r="D995" s="8" t="str">
        <f>"林桂玲"</f>
        <v>林桂玲</v>
      </c>
      <c r="E995" s="8" t="str">
        <f t="shared" si="37"/>
        <v>女</v>
      </c>
      <c r="F995" s="8" t="str">
        <f>"1993-11-02"</f>
        <v>1993-11-02</v>
      </c>
      <c r="G995" s="9"/>
    </row>
    <row r="996" spans="1:7" ht="13.5">
      <c r="A996" s="7">
        <v>994</v>
      </c>
      <c r="B996" s="8" t="str">
        <f>"234120200831104259140"</f>
        <v>234120200831104259140</v>
      </c>
      <c r="C996" s="8" t="s">
        <v>9</v>
      </c>
      <c r="D996" s="8" t="str">
        <f>"许志杨"</f>
        <v>许志杨</v>
      </c>
      <c r="E996" s="8" t="str">
        <f t="shared" si="37"/>
        <v>女</v>
      </c>
      <c r="F996" s="8" t="str">
        <f>"1999-10-25"</f>
        <v>1999-10-25</v>
      </c>
      <c r="G996" s="9"/>
    </row>
    <row r="997" spans="1:7" ht="13.5">
      <c r="A997" s="7">
        <v>995</v>
      </c>
      <c r="B997" s="8" t="str">
        <f>"234120200831104924146"</f>
        <v>234120200831104924146</v>
      </c>
      <c r="C997" s="8" t="s">
        <v>9</v>
      </c>
      <c r="D997" s="8" t="str">
        <f>"陈泽女"</f>
        <v>陈泽女</v>
      </c>
      <c r="E997" s="8" t="str">
        <f t="shared" si="37"/>
        <v>女</v>
      </c>
      <c r="F997" s="8" t="str">
        <f>"1992-02-10"</f>
        <v>1992-02-10</v>
      </c>
      <c r="G997" s="9"/>
    </row>
    <row r="998" spans="1:7" ht="13.5">
      <c r="A998" s="7">
        <v>996</v>
      </c>
      <c r="B998" s="8" t="str">
        <f>"234120200831105039148"</f>
        <v>234120200831105039148</v>
      </c>
      <c r="C998" s="8" t="s">
        <v>9</v>
      </c>
      <c r="D998" s="8" t="str">
        <f>"刘亚楠"</f>
        <v>刘亚楠</v>
      </c>
      <c r="E998" s="8" t="str">
        <f t="shared" si="37"/>
        <v>女</v>
      </c>
      <c r="F998" s="8" t="str">
        <f>"1990-05-02"</f>
        <v>1990-05-02</v>
      </c>
      <c r="G998" s="9"/>
    </row>
    <row r="999" spans="1:7" ht="13.5">
      <c r="A999" s="7">
        <v>997</v>
      </c>
      <c r="B999" s="8" t="str">
        <f>"234120200831105659151"</f>
        <v>234120200831105659151</v>
      </c>
      <c r="C999" s="8" t="s">
        <v>9</v>
      </c>
      <c r="D999" s="8" t="str">
        <f>"王鹏"</f>
        <v>王鹏</v>
      </c>
      <c r="E999" s="8" t="str">
        <f>"男"</f>
        <v>男</v>
      </c>
      <c r="F999" s="8" t="str">
        <f>"1994-11-22"</f>
        <v>1994-11-22</v>
      </c>
      <c r="G999" s="9"/>
    </row>
    <row r="1000" spans="1:7" ht="13.5">
      <c r="A1000" s="7">
        <v>998</v>
      </c>
      <c r="B1000" s="8" t="str">
        <f>"234120200831105918155"</f>
        <v>234120200831105918155</v>
      </c>
      <c r="C1000" s="8" t="s">
        <v>9</v>
      </c>
      <c r="D1000" s="8" t="str">
        <f>"陈小妹"</f>
        <v>陈小妹</v>
      </c>
      <c r="E1000" s="8" t="str">
        <f>"女"</f>
        <v>女</v>
      </c>
      <c r="F1000" s="8" t="str">
        <f>"1995-10-27"</f>
        <v>1995-10-27</v>
      </c>
      <c r="G1000" s="9"/>
    </row>
    <row r="1001" spans="1:7" ht="13.5">
      <c r="A1001" s="7">
        <v>999</v>
      </c>
      <c r="B1001" s="8" t="str">
        <f>"234120200831105923156"</f>
        <v>234120200831105923156</v>
      </c>
      <c r="C1001" s="8" t="s">
        <v>9</v>
      </c>
      <c r="D1001" s="8" t="str">
        <f>"黎英燕"</f>
        <v>黎英燕</v>
      </c>
      <c r="E1001" s="8" t="str">
        <f>"女"</f>
        <v>女</v>
      </c>
      <c r="F1001" s="8" t="str">
        <f>"1995-09-23"</f>
        <v>1995-09-23</v>
      </c>
      <c r="G1001" s="9"/>
    </row>
    <row r="1002" spans="1:7" ht="13.5">
      <c r="A1002" s="7">
        <v>1000</v>
      </c>
      <c r="B1002" s="8" t="str">
        <f>"234120200831110100157"</f>
        <v>234120200831110100157</v>
      </c>
      <c r="C1002" s="8" t="s">
        <v>9</v>
      </c>
      <c r="D1002" s="8" t="str">
        <f>"岑轶汉"</f>
        <v>岑轶汉</v>
      </c>
      <c r="E1002" s="8" t="str">
        <f>"男"</f>
        <v>男</v>
      </c>
      <c r="F1002" s="8" t="str">
        <f>"1996-04-05"</f>
        <v>1996-04-05</v>
      </c>
      <c r="G1002" s="9"/>
    </row>
    <row r="1003" spans="1:7" ht="13.5">
      <c r="A1003" s="7">
        <v>1001</v>
      </c>
      <c r="B1003" s="8" t="str">
        <f>"234120200831110206159"</f>
        <v>234120200831110206159</v>
      </c>
      <c r="C1003" s="8" t="s">
        <v>9</v>
      </c>
      <c r="D1003" s="8" t="str">
        <f>"林有芬"</f>
        <v>林有芬</v>
      </c>
      <c r="E1003" s="8" t="str">
        <f aca="true" t="shared" si="38" ref="E1003:E1009">"女"</f>
        <v>女</v>
      </c>
      <c r="F1003" s="8" t="str">
        <f>"1996-06-15"</f>
        <v>1996-06-15</v>
      </c>
      <c r="G1003" s="9"/>
    </row>
    <row r="1004" spans="1:7" ht="13.5">
      <c r="A1004" s="7">
        <v>1002</v>
      </c>
      <c r="B1004" s="8" t="str">
        <f>"234120200831110404163"</f>
        <v>234120200831110404163</v>
      </c>
      <c r="C1004" s="8" t="s">
        <v>9</v>
      </c>
      <c r="D1004" s="8" t="str">
        <f>"卓怀曼"</f>
        <v>卓怀曼</v>
      </c>
      <c r="E1004" s="8" t="str">
        <f t="shared" si="38"/>
        <v>女</v>
      </c>
      <c r="F1004" s="8" t="str">
        <f>"1996-02-18"</f>
        <v>1996-02-18</v>
      </c>
      <c r="G1004" s="9"/>
    </row>
    <row r="1005" spans="1:7" ht="13.5">
      <c r="A1005" s="7">
        <v>1003</v>
      </c>
      <c r="B1005" s="8" t="str">
        <f>"234120200831110523165"</f>
        <v>234120200831110523165</v>
      </c>
      <c r="C1005" s="8" t="s">
        <v>9</v>
      </c>
      <c r="D1005" s="8" t="str">
        <f>"王海丽"</f>
        <v>王海丽</v>
      </c>
      <c r="E1005" s="8" t="str">
        <f t="shared" si="38"/>
        <v>女</v>
      </c>
      <c r="F1005" s="8" t="str">
        <f>"1996-12-07"</f>
        <v>1996-12-07</v>
      </c>
      <c r="G1005" s="9"/>
    </row>
    <row r="1006" spans="1:7" ht="13.5">
      <c r="A1006" s="7">
        <v>1004</v>
      </c>
      <c r="B1006" s="8" t="str">
        <f>"234120200831110527166"</f>
        <v>234120200831110527166</v>
      </c>
      <c r="C1006" s="8" t="s">
        <v>9</v>
      </c>
      <c r="D1006" s="8" t="str">
        <f>"张耀妍"</f>
        <v>张耀妍</v>
      </c>
      <c r="E1006" s="8" t="str">
        <f t="shared" si="38"/>
        <v>女</v>
      </c>
      <c r="F1006" s="8" t="str">
        <f>"1991-09-07"</f>
        <v>1991-09-07</v>
      </c>
      <c r="G1006" s="9"/>
    </row>
    <row r="1007" spans="1:7" ht="13.5">
      <c r="A1007" s="7">
        <v>1005</v>
      </c>
      <c r="B1007" s="8" t="str">
        <f>"234120200831110950170"</f>
        <v>234120200831110950170</v>
      </c>
      <c r="C1007" s="8" t="s">
        <v>9</v>
      </c>
      <c r="D1007" s="8" t="str">
        <f>"陈丹"</f>
        <v>陈丹</v>
      </c>
      <c r="E1007" s="8" t="str">
        <f t="shared" si="38"/>
        <v>女</v>
      </c>
      <c r="F1007" s="8" t="str">
        <f>"1994-06-01"</f>
        <v>1994-06-01</v>
      </c>
      <c r="G1007" s="9"/>
    </row>
    <row r="1008" spans="1:7" ht="13.5">
      <c r="A1008" s="7">
        <v>1006</v>
      </c>
      <c r="B1008" s="8" t="str">
        <f>"234120200831111024171"</f>
        <v>234120200831111024171</v>
      </c>
      <c r="C1008" s="8" t="s">
        <v>9</v>
      </c>
      <c r="D1008" s="8" t="str">
        <f>"吴丽美"</f>
        <v>吴丽美</v>
      </c>
      <c r="E1008" s="8" t="str">
        <f t="shared" si="38"/>
        <v>女</v>
      </c>
      <c r="F1008" s="8" t="str">
        <f>"1992-04-05"</f>
        <v>1992-04-05</v>
      </c>
      <c r="G1008" s="9"/>
    </row>
    <row r="1009" spans="1:7" ht="13.5">
      <c r="A1009" s="7">
        <v>1007</v>
      </c>
      <c r="B1009" s="8" t="str">
        <f>"234120200831111155173"</f>
        <v>234120200831111155173</v>
      </c>
      <c r="C1009" s="8" t="s">
        <v>9</v>
      </c>
      <c r="D1009" s="8" t="str">
        <f>"颜莹莹"</f>
        <v>颜莹莹</v>
      </c>
      <c r="E1009" s="8" t="str">
        <f t="shared" si="38"/>
        <v>女</v>
      </c>
      <c r="F1009" s="8" t="str">
        <f>"1990-03-02"</f>
        <v>1990-03-02</v>
      </c>
      <c r="G1009" s="9"/>
    </row>
    <row r="1010" spans="1:7" ht="13.5">
      <c r="A1010" s="7">
        <v>1008</v>
      </c>
      <c r="B1010" s="8" t="str">
        <f>"234120200831111604175"</f>
        <v>234120200831111604175</v>
      </c>
      <c r="C1010" s="8" t="s">
        <v>9</v>
      </c>
      <c r="D1010" s="8" t="str">
        <f>"吴炳坤"</f>
        <v>吴炳坤</v>
      </c>
      <c r="E1010" s="8" t="str">
        <f>"男"</f>
        <v>男</v>
      </c>
      <c r="F1010" s="8" t="str">
        <f>"1993-03-03"</f>
        <v>1993-03-03</v>
      </c>
      <c r="G1010" s="9"/>
    </row>
    <row r="1011" spans="1:7" ht="13.5">
      <c r="A1011" s="7">
        <v>1009</v>
      </c>
      <c r="B1011" s="8" t="str">
        <f>"234120200831111731179"</f>
        <v>234120200831111731179</v>
      </c>
      <c r="C1011" s="8" t="s">
        <v>9</v>
      </c>
      <c r="D1011" s="8" t="str">
        <f>"叶燕红"</f>
        <v>叶燕红</v>
      </c>
      <c r="E1011" s="8" t="str">
        <f>"男"</f>
        <v>男</v>
      </c>
      <c r="F1011" s="8" t="str">
        <f>"1987-06-27"</f>
        <v>1987-06-27</v>
      </c>
      <c r="G1011" s="9"/>
    </row>
    <row r="1012" spans="1:7" ht="13.5">
      <c r="A1012" s="7">
        <v>1010</v>
      </c>
      <c r="B1012" s="8" t="str">
        <f>"234120200831112825189"</f>
        <v>234120200831112825189</v>
      </c>
      <c r="C1012" s="8" t="s">
        <v>9</v>
      </c>
      <c r="D1012" s="8" t="str">
        <f>"张茹"</f>
        <v>张茹</v>
      </c>
      <c r="E1012" s="8" t="str">
        <f aca="true" t="shared" si="39" ref="E1012:E1023">"女"</f>
        <v>女</v>
      </c>
      <c r="F1012" s="8" t="str">
        <f>"1992-02-16"</f>
        <v>1992-02-16</v>
      </c>
      <c r="G1012" s="9"/>
    </row>
    <row r="1013" spans="1:7" ht="13.5">
      <c r="A1013" s="7">
        <v>1011</v>
      </c>
      <c r="B1013" s="8" t="str">
        <f>"234120200831112926190"</f>
        <v>234120200831112926190</v>
      </c>
      <c r="C1013" s="8" t="s">
        <v>9</v>
      </c>
      <c r="D1013" s="8" t="str">
        <f>"林羽"</f>
        <v>林羽</v>
      </c>
      <c r="E1013" s="8" t="str">
        <f t="shared" si="39"/>
        <v>女</v>
      </c>
      <c r="F1013" s="8" t="str">
        <f>"1996-07-07"</f>
        <v>1996-07-07</v>
      </c>
      <c r="G1013" s="9"/>
    </row>
    <row r="1014" spans="1:7" ht="13.5">
      <c r="A1014" s="7">
        <v>1012</v>
      </c>
      <c r="B1014" s="8" t="str">
        <f>"234120200831112955191"</f>
        <v>234120200831112955191</v>
      </c>
      <c r="C1014" s="8" t="s">
        <v>9</v>
      </c>
      <c r="D1014" s="8" t="str">
        <f>"孙丽华"</f>
        <v>孙丽华</v>
      </c>
      <c r="E1014" s="8" t="str">
        <f t="shared" si="39"/>
        <v>女</v>
      </c>
      <c r="F1014" s="8" t="str">
        <f>"1993-07-17"</f>
        <v>1993-07-17</v>
      </c>
      <c r="G1014" s="9"/>
    </row>
    <row r="1015" spans="1:7" ht="13.5">
      <c r="A1015" s="7">
        <v>1013</v>
      </c>
      <c r="B1015" s="8" t="str">
        <f>"234120200831113245197"</f>
        <v>234120200831113245197</v>
      </c>
      <c r="C1015" s="8" t="s">
        <v>9</v>
      </c>
      <c r="D1015" s="8" t="str">
        <f>"姚家琪"</f>
        <v>姚家琪</v>
      </c>
      <c r="E1015" s="8" t="str">
        <f t="shared" si="39"/>
        <v>女</v>
      </c>
      <c r="F1015" s="8" t="str">
        <f>"1998-07-11"</f>
        <v>1998-07-11</v>
      </c>
      <c r="G1015" s="9"/>
    </row>
    <row r="1016" spans="1:7" ht="13.5">
      <c r="A1016" s="7">
        <v>1014</v>
      </c>
      <c r="B1016" s="8" t="str">
        <f>"234120200831114015202"</f>
        <v>234120200831114015202</v>
      </c>
      <c r="C1016" s="8" t="s">
        <v>9</v>
      </c>
      <c r="D1016" s="8" t="str">
        <f>"郭倩倩"</f>
        <v>郭倩倩</v>
      </c>
      <c r="E1016" s="8" t="str">
        <f t="shared" si="39"/>
        <v>女</v>
      </c>
      <c r="F1016" s="8" t="str">
        <f>"1995-09-01"</f>
        <v>1995-09-01</v>
      </c>
      <c r="G1016" s="9"/>
    </row>
    <row r="1017" spans="1:7" ht="13.5">
      <c r="A1017" s="7">
        <v>1015</v>
      </c>
      <c r="B1017" s="8" t="str">
        <f>"234120200831114738206"</f>
        <v>234120200831114738206</v>
      </c>
      <c r="C1017" s="8" t="s">
        <v>9</v>
      </c>
      <c r="D1017" s="8" t="str">
        <f>"何雄玲"</f>
        <v>何雄玲</v>
      </c>
      <c r="E1017" s="8" t="str">
        <f t="shared" si="39"/>
        <v>女</v>
      </c>
      <c r="F1017" s="8" t="str">
        <f>"1995-07-30"</f>
        <v>1995-07-30</v>
      </c>
      <c r="G1017" s="9"/>
    </row>
    <row r="1018" spans="1:7" ht="13.5">
      <c r="A1018" s="7">
        <v>1016</v>
      </c>
      <c r="B1018" s="8" t="str">
        <f>"234120200831114832207"</f>
        <v>234120200831114832207</v>
      </c>
      <c r="C1018" s="8" t="s">
        <v>9</v>
      </c>
      <c r="D1018" s="8" t="str">
        <f>"曾春晓"</f>
        <v>曾春晓</v>
      </c>
      <c r="E1018" s="8" t="str">
        <f t="shared" si="39"/>
        <v>女</v>
      </c>
      <c r="F1018" s="8" t="str">
        <f>"1994-05-06"</f>
        <v>1994-05-06</v>
      </c>
      <c r="G1018" s="9"/>
    </row>
    <row r="1019" spans="1:7" ht="13.5">
      <c r="A1019" s="7">
        <v>1017</v>
      </c>
      <c r="B1019" s="8" t="str">
        <f>"234120200831114956209"</f>
        <v>234120200831114956209</v>
      </c>
      <c r="C1019" s="8" t="s">
        <v>9</v>
      </c>
      <c r="D1019" s="8" t="str">
        <f>"孙冬梅"</f>
        <v>孙冬梅</v>
      </c>
      <c r="E1019" s="8" t="str">
        <f t="shared" si="39"/>
        <v>女</v>
      </c>
      <c r="F1019" s="8" t="str">
        <f>"1992-12-21"</f>
        <v>1992-12-21</v>
      </c>
      <c r="G1019" s="9"/>
    </row>
    <row r="1020" spans="1:7" ht="13.5">
      <c r="A1020" s="7">
        <v>1018</v>
      </c>
      <c r="B1020" s="8" t="str">
        <f>"234120200831115157212"</f>
        <v>234120200831115157212</v>
      </c>
      <c r="C1020" s="8" t="s">
        <v>9</v>
      </c>
      <c r="D1020" s="8" t="str">
        <f>"何鸣"</f>
        <v>何鸣</v>
      </c>
      <c r="E1020" s="8" t="str">
        <f t="shared" si="39"/>
        <v>女</v>
      </c>
      <c r="F1020" s="8" t="str">
        <f>"1992-02-18"</f>
        <v>1992-02-18</v>
      </c>
      <c r="G1020" s="9"/>
    </row>
    <row r="1021" spans="1:7" ht="13.5">
      <c r="A1021" s="7">
        <v>1019</v>
      </c>
      <c r="B1021" s="8" t="str">
        <f>"234120200831115516213"</f>
        <v>234120200831115516213</v>
      </c>
      <c r="C1021" s="8" t="s">
        <v>9</v>
      </c>
      <c r="D1021" s="8" t="str">
        <f>"韩莉丽"</f>
        <v>韩莉丽</v>
      </c>
      <c r="E1021" s="8" t="str">
        <f t="shared" si="39"/>
        <v>女</v>
      </c>
      <c r="F1021" s="8" t="str">
        <f>"1992-04-05"</f>
        <v>1992-04-05</v>
      </c>
      <c r="G1021" s="9"/>
    </row>
    <row r="1022" spans="1:7" ht="13.5">
      <c r="A1022" s="7">
        <v>1020</v>
      </c>
      <c r="B1022" s="8" t="str">
        <f>"234120200831115651216"</f>
        <v>234120200831115651216</v>
      </c>
      <c r="C1022" s="8" t="s">
        <v>9</v>
      </c>
      <c r="D1022" s="8" t="str">
        <f>"陈素妮"</f>
        <v>陈素妮</v>
      </c>
      <c r="E1022" s="8" t="str">
        <f t="shared" si="39"/>
        <v>女</v>
      </c>
      <c r="F1022" s="8" t="str">
        <f>"1996-06-16"</f>
        <v>1996-06-16</v>
      </c>
      <c r="G1022" s="9"/>
    </row>
    <row r="1023" spans="1:7" ht="13.5">
      <c r="A1023" s="7">
        <v>1021</v>
      </c>
      <c r="B1023" s="8" t="str">
        <f>"234120200831120526226"</f>
        <v>234120200831120526226</v>
      </c>
      <c r="C1023" s="8" t="s">
        <v>9</v>
      </c>
      <c r="D1023" s="8" t="str">
        <f>"吴朝阳"</f>
        <v>吴朝阳</v>
      </c>
      <c r="E1023" s="8" t="str">
        <f t="shared" si="39"/>
        <v>女</v>
      </c>
      <c r="F1023" s="8" t="str">
        <f>"1994-11-05"</f>
        <v>1994-11-05</v>
      </c>
      <c r="G1023" s="9"/>
    </row>
    <row r="1024" spans="1:7" ht="13.5">
      <c r="A1024" s="7">
        <v>1022</v>
      </c>
      <c r="B1024" s="8" t="str">
        <f>"234120200831120612227"</f>
        <v>234120200831120612227</v>
      </c>
      <c r="C1024" s="8" t="s">
        <v>9</v>
      </c>
      <c r="D1024" s="8" t="str">
        <f>"邓小洋"</f>
        <v>邓小洋</v>
      </c>
      <c r="E1024" s="8" t="str">
        <f>"男"</f>
        <v>男</v>
      </c>
      <c r="F1024" s="8" t="str">
        <f>"1990-07-01"</f>
        <v>1990-07-01</v>
      </c>
      <c r="G1024" s="9"/>
    </row>
    <row r="1025" spans="1:7" ht="13.5">
      <c r="A1025" s="7">
        <v>1023</v>
      </c>
      <c r="B1025" s="8" t="str">
        <f>"234120200831121154232"</f>
        <v>234120200831121154232</v>
      </c>
      <c r="C1025" s="8" t="s">
        <v>9</v>
      </c>
      <c r="D1025" s="8" t="str">
        <f>"李家凤"</f>
        <v>李家凤</v>
      </c>
      <c r="E1025" s="8" t="str">
        <f>"女"</f>
        <v>女</v>
      </c>
      <c r="F1025" s="8" t="str">
        <f>"1997-04-05"</f>
        <v>1997-04-05</v>
      </c>
      <c r="G1025" s="9"/>
    </row>
    <row r="1026" spans="1:7" ht="13.5">
      <c r="A1026" s="7">
        <v>1024</v>
      </c>
      <c r="B1026" s="8" t="str">
        <f>"234120200831121909240"</f>
        <v>234120200831121909240</v>
      </c>
      <c r="C1026" s="8" t="s">
        <v>9</v>
      </c>
      <c r="D1026" s="8" t="str">
        <f>"曹泽文"</f>
        <v>曹泽文</v>
      </c>
      <c r="E1026" s="8" t="str">
        <f>"女"</f>
        <v>女</v>
      </c>
      <c r="F1026" s="8" t="str">
        <f>"1996-10-13"</f>
        <v>1996-10-13</v>
      </c>
      <c r="G1026" s="9"/>
    </row>
    <row r="1027" spans="1:7" ht="13.5">
      <c r="A1027" s="7">
        <v>1025</v>
      </c>
      <c r="B1027" s="8" t="str">
        <f>"234120200831123331250"</f>
        <v>234120200831123331250</v>
      </c>
      <c r="C1027" s="8" t="s">
        <v>9</v>
      </c>
      <c r="D1027" s="8" t="str">
        <f>"曾令嘉"</f>
        <v>曾令嘉</v>
      </c>
      <c r="E1027" s="8" t="str">
        <f>"男"</f>
        <v>男</v>
      </c>
      <c r="F1027" s="8" t="str">
        <f>"1988-09-12"</f>
        <v>1988-09-12</v>
      </c>
      <c r="G1027" s="9"/>
    </row>
    <row r="1028" spans="1:7" ht="13.5">
      <c r="A1028" s="7">
        <v>1026</v>
      </c>
      <c r="B1028" s="8" t="str">
        <f>"234120200831124404257"</f>
        <v>234120200831124404257</v>
      </c>
      <c r="C1028" s="8" t="s">
        <v>9</v>
      </c>
      <c r="D1028" s="8" t="str">
        <f>"罗全迷"</f>
        <v>罗全迷</v>
      </c>
      <c r="E1028" s="8" t="str">
        <f aca="true" t="shared" si="40" ref="E1028:E1041">"女"</f>
        <v>女</v>
      </c>
      <c r="F1028" s="8" t="str">
        <f>"1996-07-20"</f>
        <v>1996-07-20</v>
      </c>
      <c r="G1028" s="9"/>
    </row>
    <row r="1029" spans="1:7" ht="13.5">
      <c r="A1029" s="7">
        <v>1027</v>
      </c>
      <c r="B1029" s="8" t="str">
        <f>"234120200831124515260"</f>
        <v>234120200831124515260</v>
      </c>
      <c r="C1029" s="8" t="s">
        <v>9</v>
      </c>
      <c r="D1029" s="8" t="str">
        <f>"许娇丽"</f>
        <v>许娇丽</v>
      </c>
      <c r="E1029" s="8" t="str">
        <f t="shared" si="40"/>
        <v>女</v>
      </c>
      <c r="F1029" s="8" t="str">
        <f>"1995-05-22"</f>
        <v>1995-05-22</v>
      </c>
      <c r="G1029" s="9"/>
    </row>
    <row r="1030" spans="1:7" ht="13.5">
      <c r="A1030" s="7">
        <v>1028</v>
      </c>
      <c r="B1030" s="8" t="str">
        <f>"234120200831124558261"</f>
        <v>234120200831124558261</v>
      </c>
      <c r="C1030" s="8" t="s">
        <v>9</v>
      </c>
      <c r="D1030" s="8" t="str">
        <f>"李伊果"</f>
        <v>李伊果</v>
      </c>
      <c r="E1030" s="8" t="str">
        <f t="shared" si="40"/>
        <v>女</v>
      </c>
      <c r="F1030" s="8" t="str">
        <f>"1997-03-18"</f>
        <v>1997-03-18</v>
      </c>
      <c r="G1030" s="9"/>
    </row>
    <row r="1031" spans="1:7" ht="13.5">
      <c r="A1031" s="7">
        <v>1029</v>
      </c>
      <c r="B1031" s="8" t="str">
        <f>"234120200831124840263"</f>
        <v>234120200831124840263</v>
      </c>
      <c r="C1031" s="8" t="s">
        <v>9</v>
      </c>
      <c r="D1031" s="8" t="str">
        <f>"盛萌"</f>
        <v>盛萌</v>
      </c>
      <c r="E1031" s="8" t="str">
        <f t="shared" si="40"/>
        <v>女</v>
      </c>
      <c r="F1031" s="8" t="str">
        <f>"1990-12-08"</f>
        <v>1990-12-08</v>
      </c>
      <c r="G1031" s="9"/>
    </row>
    <row r="1032" spans="1:7" ht="13.5">
      <c r="A1032" s="7">
        <v>1030</v>
      </c>
      <c r="B1032" s="8" t="str">
        <f>"234120200831125439271"</f>
        <v>234120200831125439271</v>
      </c>
      <c r="C1032" s="8" t="s">
        <v>9</v>
      </c>
      <c r="D1032" s="8" t="str">
        <f>"王基萍"</f>
        <v>王基萍</v>
      </c>
      <c r="E1032" s="8" t="str">
        <f t="shared" si="40"/>
        <v>女</v>
      </c>
      <c r="F1032" s="8" t="str">
        <f>"1994-12-08"</f>
        <v>1994-12-08</v>
      </c>
      <c r="G1032" s="9"/>
    </row>
    <row r="1033" spans="1:7" ht="13.5">
      <c r="A1033" s="7">
        <v>1031</v>
      </c>
      <c r="B1033" s="8" t="str">
        <f>"234120200831125819273"</f>
        <v>234120200831125819273</v>
      </c>
      <c r="C1033" s="8" t="s">
        <v>9</v>
      </c>
      <c r="D1033" s="8" t="str">
        <f>"郑玉"</f>
        <v>郑玉</v>
      </c>
      <c r="E1033" s="8" t="str">
        <f t="shared" si="40"/>
        <v>女</v>
      </c>
      <c r="F1033" s="8" t="str">
        <f>"1994-05-10"</f>
        <v>1994-05-10</v>
      </c>
      <c r="G1033" s="9"/>
    </row>
    <row r="1034" spans="1:7" ht="13.5">
      <c r="A1034" s="7">
        <v>1032</v>
      </c>
      <c r="B1034" s="8" t="str">
        <f>"234120200831130333278"</f>
        <v>234120200831130333278</v>
      </c>
      <c r="C1034" s="8" t="s">
        <v>9</v>
      </c>
      <c r="D1034" s="8" t="str">
        <f>"符春欢"</f>
        <v>符春欢</v>
      </c>
      <c r="E1034" s="8" t="str">
        <f t="shared" si="40"/>
        <v>女</v>
      </c>
      <c r="F1034" s="8" t="str">
        <f>"1997-05-25"</f>
        <v>1997-05-25</v>
      </c>
      <c r="G1034" s="9"/>
    </row>
    <row r="1035" spans="1:7" ht="13.5">
      <c r="A1035" s="7">
        <v>1033</v>
      </c>
      <c r="B1035" s="8" t="str">
        <f>"234120200831130755280"</f>
        <v>234120200831130755280</v>
      </c>
      <c r="C1035" s="8" t="s">
        <v>9</v>
      </c>
      <c r="D1035" s="8" t="str">
        <f>"陈青慧"</f>
        <v>陈青慧</v>
      </c>
      <c r="E1035" s="8" t="str">
        <f t="shared" si="40"/>
        <v>女</v>
      </c>
      <c r="F1035" s="8" t="str">
        <f>"1995-05-20"</f>
        <v>1995-05-20</v>
      </c>
      <c r="G1035" s="9"/>
    </row>
    <row r="1036" spans="1:7" ht="13.5">
      <c r="A1036" s="7">
        <v>1034</v>
      </c>
      <c r="B1036" s="8" t="str">
        <f>"234120200831130813281"</f>
        <v>234120200831130813281</v>
      </c>
      <c r="C1036" s="8" t="s">
        <v>9</v>
      </c>
      <c r="D1036" s="8" t="str">
        <f>"林丽娜"</f>
        <v>林丽娜</v>
      </c>
      <c r="E1036" s="8" t="str">
        <f t="shared" si="40"/>
        <v>女</v>
      </c>
      <c r="F1036" s="8" t="str">
        <f>"1995-08-09"</f>
        <v>1995-08-09</v>
      </c>
      <c r="G1036" s="9"/>
    </row>
    <row r="1037" spans="1:7" ht="13.5">
      <c r="A1037" s="7">
        <v>1035</v>
      </c>
      <c r="B1037" s="8" t="str">
        <f>"234120200831133204287"</f>
        <v>234120200831133204287</v>
      </c>
      <c r="C1037" s="8" t="s">
        <v>9</v>
      </c>
      <c r="D1037" s="8" t="str">
        <f>"刘亚强"</f>
        <v>刘亚强</v>
      </c>
      <c r="E1037" s="8" t="str">
        <f t="shared" si="40"/>
        <v>女</v>
      </c>
      <c r="F1037" s="8" t="str">
        <f>"1994-02-20"</f>
        <v>1994-02-20</v>
      </c>
      <c r="G1037" s="9"/>
    </row>
    <row r="1038" spans="1:7" ht="13.5">
      <c r="A1038" s="7">
        <v>1036</v>
      </c>
      <c r="B1038" s="8" t="str">
        <f>"234120200831134620294"</f>
        <v>234120200831134620294</v>
      </c>
      <c r="C1038" s="8" t="s">
        <v>9</v>
      </c>
      <c r="D1038" s="8" t="str">
        <f>"王茹倩"</f>
        <v>王茹倩</v>
      </c>
      <c r="E1038" s="8" t="str">
        <f t="shared" si="40"/>
        <v>女</v>
      </c>
      <c r="F1038" s="8" t="str">
        <f>"1998-01-16"</f>
        <v>1998-01-16</v>
      </c>
      <c r="G1038" s="9"/>
    </row>
    <row r="1039" spans="1:7" ht="13.5">
      <c r="A1039" s="7">
        <v>1037</v>
      </c>
      <c r="B1039" s="8" t="str">
        <f>"234120200831135816301"</f>
        <v>234120200831135816301</v>
      </c>
      <c r="C1039" s="8" t="s">
        <v>9</v>
      </c>
      <c r="D1039" s="8" t="str">
        <f>"林翠蓝"</f>
        <v>林翠蓝</v>
      </c>
      <c r="E1039" s="8" t="str">
        <f t="shared" si="40"/>
        <v>女</v>
      </c>
      <c r="F1039" s="8" t="str">
        <f>"1994-05-11"</f>
        <v>1994-05-11</v>
      </c>
      <c r="G1039" s="9"/>
    </row>
    <row r="1040" spans="1:7" ht="13.5">
      <c r="A1040" s="7">
        <v>1038</v>
      </c>
      <c r="B1040" s="8" t="str">
        <f>"234120200831140243306"</f>
        <v>234120200831140243306</v>
      </c>
      <c r="C1040" s="8" t="s">
        <v>9</v>
      </c>
      <c r="D1040" s="8" t="str">
        <f>"林成叶"</f>
        <v>林成叶</v>
      </c>
      <c r="E1040" s="8" t="str">
        <f t="shared" si="40"/>
        <v>女</v>
      </c>
      <c r="F1040" s="8" t="str">
        <f>"1988-02-07"</f>
        <v>1988-02-07</v>
      </c>
      <c r="G1040" s="9"/>
    </row>
    <row r="1041" spans="1:7" ht="13.5">
      <c r="A1041" s="7">
        <v>1039</v>
      </c>
      <c r="B1041" s="8" t="str">
        <f>"234120200831141443312"</f>
        <v>234120200831141443312</v>
      </c>
      <c r="C1041" s="8" t="s">
        <v>9</v>
      </c>
      <c r="D1041" s="8" t="str">
        <f>"荆哲"</f>
        <v>荆哲</v>
      </c>
      <c r="E1041" s="8" t="str">
        <f t="shared" si="40"/>
        <v>女</v>
      </c>
      <c r="F1041" s="8" t="str">
        <f>"1989-03-21"</f>
        <v>1989-03-21</v>
      </c>
      <c r="G1041" s="9"/>
    </row>
    <row r="1042" spans="1:7" ht="13.5">
      <c r="A1042" s="7">
        <v>1040</v>
      </c>
      <c r="B1042" s="8" t="str">
        <f>"234120200831142049313"</f>
        <v>234120200831142049313</v>
      </c>
      <c r="C1042" s="8" t="s">
        <v>9</v>
      </c>
      <c r="D1042" s="8" t="str">
        <f>"陈明毓"</f>
        <v>陈明毓</v>
      </c>
      <c r="E1042" s="8" t="str">
        <f>"男"</f>
        <v>男</v>
      </c>
      <c r="F1042" s="8" t="str">
        <f>"1996-04-10"</f>
        <v>1996-04-10</v>
      </c>
      <c r="G1042" s="9"/>
    </row>
    <row r="1043" spans="1:7" ht="13.5">
      <c r="A1043" s="7">
        <v>1041</v>
      </c>
      <c r="B1043" s="8" t="str">
        <f>"234120200831142859317"</f>
        <v>234120200831142859317</v>
      </c>
      <c r="C1043" s="8" t="s">
        <v>9</v>
      </c>
      <c r="D1043" s="8" t="str">
        <f>"凌路"</f>
        <v>凌路</v>
      </c>
      <c r="E1043" s="8" t="str">
        <f>"女"</f>
        <v>女</v>
      </c>
      <c r="F1043" s="8" t="str">
        <f>"1992-03-18"</f>
        <v>1992-03-18</v>
      </c>
      <c r="G1043" s="9"/>
    </row>
    <row r="1044" spans="1:7" ht="13.5">
      <c r="A1044" s="7">
        <v>1042</v>
      </c>
      <c r="B1044" s="8" t="str">
        <f>"234120200831143501318"</f>
        <v>234120200831143501318</v>
      </c>
      <c r="C1044" s="8" t="s">
        <v>9</v>
      </c>
      <c r="D1044" s="8" t="str">
        <f>"黄萃苑"</f>
        <v>黄萃苑</v>
      </c>
      <c r="E1044" s="8" t="str">
        <f>"女"</f>
        <v>女</v>
      </c>
      <c r="F1044" s="8" t="str">
        <f>"1996-11-30"</f>
        <v>1996-11-30</v>
      </c>
      <c r="G1044" s="9"/>
    </row>
    <row r="1045" spans="1:7" ht="13.5">
      <c r="A1045" s="7">
        <v>1043</v>
      </c>
      <c r="B1045" s="8" t="str">
        <f>"234120200831144229323"</f>
        <v>234120200831144229323</v>
      </c>
      <c r="C1045" s="8" t="s">
        <v>9</v>
      </c>
      <c r="D1045" s="8" t="str">
        <f>"孙健"</f>
        <v>孙健</v>
      </c>
      <c r="E1045" s="8" t="str">
        <f>"男"</f>
        <v>男</v>
      </c>
      <c r="F1045" s="8" t="str">
        <f>"1986-03-28"</f>
        <v>1986-03-28</v>
      </c>
      <c r="G1045" s="9"/>
    </row>
    <row r="1046" spans="1:7" ht="13.5">
      <c r="A1046" s="7">
        <v>1044</v>
      </c>
      <c r="B1046" s="8" t="str">
        <f>"234120200831144815328"</f>
        <v>234120200831144815328</v>
      </c>
      <c r="C1046" s="8" t="s">
        <v>9</v>
      </c>
      <c r="D1046" s="8" t="str">
        <f>"陈晶晶"</f>
        <v>陈晶晶</v>
      </c>
      <c r="E1046" s="8" t="str">
        <f aca="true" t="shared" si="41" ref="E1046:E1054">"女"</f>
        <v>女</v>
      </c>
      <c r="F1046" s="8" t="str">
        <f>"1992-10-28"</f>
        <v>1992-10-28</v>
      </c>
      <c r="G1046" s="9"/>
    </row>
    <row r="1047" spans="1:7" ht="13.5">
      <c r="A1047" s="7">
        <v>1045</v>
      </c>
      <c r="B1047" s="8" t="str">
        <f>"234120200831145155330"</f>
        <v>234120200831145155330</v>
      </c>
      <c r="C1047" s="8" t="s">
        <v>9</v>
      </c>
      <c r="D1047" s="8" t="str">
        <f>"谢珊瑚"</f>
        <v>谢珊瑚</v>
      </c>
      <c r="E1047" s="8" t="str">
        <f t="shared" si="41"/>
        <v>女</v>
      </c>
      <c r="F1047" s="8" t="str">
        <f>"1994-10-14"</f>
        <v>1994-10-14</v>
      </c>
      <c r="G1047" s="9"/>
    </row>
    <row r="1048" spans="1:7" ht="13.5">
      <c r="A1048" s="7">
        <v>1046</v>
      </c>
      <c r="B1048" s="8" t="str">
        <f>"234120200831150205333"</f>
        <v>234120200831150205333</v>
      </c>
      <c r="C1048" s="8" t="s">
        <v>9</v>
      </c>
      <c r="D1048" s="8" t="str">
        <f>"陈婆梅"</f>
        <v>陈婆梅</v>
      </c>
      <c r="E1048" s="8" t="str">
        <f t="shared" si="41"/>
        <v>女</v>
      </c>
      <c r="F1048" s="8" t="str">
        <f>"1990-06-27"</f>
        <v>1990-06-27</v>
      </c>
      <c r="G1048" s="9"/>
    </row>
    <row r="1049" spans="1:7" ht="13.5">
      <c r="A1049" s="7">
        <v>1047</v>
      </c>
      <c r="B1049" s="8" t="str">
        <f>"234120200831151122341"</f>
        <v>234120200831151122341</v>
      </c>
      <c r="C1049" s="8" t="s">
        <v>9</v>
      </c>
      <c r="D1049" s="8" t="str">
        <f>"孟海岸"</f>
        <v>孟海岸</v>
      </c>
      <c r="E1049" s="8" t="str">
        <f t="shared" si="41"/>
        <v>女</v>
      </c>
      <c r="F1049" s="8" t="str">
        <f>"1992-11-06"</f>
        <v>1992-11-06</v>
      </c>
      <c r="G1049" s="9"/>
    </row>
    <row r="1050" spans="1:7" ht="13.5">
      <c r="A1050" s="7">
        <v>1048</v>
      </c>
      <c r="B1050" s="8" t="str">
        <f>"234120200831151441343"</f>
        <v>234120200831151441343</v>
      </c>
      <c r="C1050" s="8" t="s">
        <v>9</v>
      </c>
      <c r="D1050" s="8" t="str">
        <f>"符坤丹"</f>
        <v>符坤丹</v>
      </c>
      <c r="E1050" s="8" t="str">
        <f t="shared" si="41"/>
        <v>女</v>
      </c>
      <c r="F1050" s="8" t="str">
        <f>"1988-04-30"</f>
        <v>1988-04-30</v>
      </c>
      <c r="G1050" s="9"/>
    </row>
    <row r="1051" spans="1:7" ht="13.5">
      <c r="A1051" s="7">
        <v>1049</v>
      </c>
      <c r="B1051" s="8" t="str">
        <f>"234120200831151709349"</f>
        <v>234120200831151709349</v>
      </c>
      <c r="C1051" s="8" t="s">
        <v>9</v>
      </c>
      <c r="D1051" s="8" t="str">
        <f>"朱云青"</f>
        <v>朱云青</v>
      </c>
      <c r="E1051" s="8" t="str">
        <f t="shared" si="41"/>
        <v>女</v>
      </c>
      <c r="F1051" s="8" t="str">
        <f>"1995-10-09"</f>
        <v>1995-10-09</v>
      </c>
      <c r="G1051" s="9"/>
    </row>
    <row r="1052" spans="1:7" ht="13.5">
      <c r="A1052" s="7">
        <v>1050</v>
      </c>
      <c r="B1052" s="8" t="str">
        <f>"234120200831152008351"</f>
        <v>234120200831152008351</v>
      </c>
      <c r="C1052" s="8" t="s">
        <v>9</v>
      </c>
      <c r="D1052" s="8" t="str">
        <f>"王波"</f>
        <v>王波</v>
      </c>
      <c r="E1052" s="8" t="str">
        <f t="shared" si="41"/>
        <v>女</v>
      </c>
      <c r="F1052" s="8" t="str">
        <f>"1995-09-10"</f>
        <v>1995-09-10</v>
      </c>
      <c r="G1052" s="9"/>
    </row>
    <row r="1053" spans="1:7" ht="13.5">
      <c r="A1053" s="7">
        <v>1051</v>
      </c>
      <c r="B1053" s="8" t="str">
        <f>"234120200831153218356"</f>
        <v>234120200831153218356</v>
      </c>
      <c r="C1053" s="8" t="s">
        <v>9</v>
      </c>
      <c r="D1053" s="8" t="str">
        <f>"甘彩红"</f>
        <v>甘彩红</v>
      </c>
      <c r="E1053" s="8" t="str">
        <f t="shared" si="41"/>
        <v>女</v>
      </c>
      <c r="F1053" s="8" t="str">
        <f>"1991-11-14"</f>
        <v>1991-11-14</v>
      </c>
      <c r="G1053" s="9"/>
    </row>
    <row r="1054" spans="1:7" ht="13.5">
      <c r="A1054" s="7">
        <v>1052</v>
      </c>
      <c r="B1054" s="8" t="str">
        <f>"234120200831155234367"</f>
        <v>234120200831155234367</v>
      </c>
      <c r="C1054" s="8" t="s">
        <v>9</v>
      </c>
      <c r="D1054" s="8" t="str">
        <f>"林竹"</f>
        <v>林竹</v>
      </c>
      <c r="E1054" s="8" t="str">
        <f t="shared" si="41"/>
        <v>女</v>
      </c>
      <c r="F1054" s="8" t="str">
        <f>"1991-01-04"</f>
        <v>1991-01-04</v>
      </c>
      <c r="G1054" s="9"/>
    </row>
    <row r="1055" spans="1:7" ht="13.5">
      <c r="A1055" s="7">
        <v>1053</v>
      </c>
      <c r="B1055" s="8" t="str">
        <f>"234120200831160505374"</f>
        <v>234120200831160505374</v>
      </c>
      <c r="C1055" s="8" t="s">
        <v>9</v>
      </c>
      <c r="D1055" s="8" t="str">
        <f>"叶敏峰"</f>
        <v>叶敏峰</v>
      </c>
      <c r="E1055" s="8" t="str">
        <f>"男"</f>
        <v>男</v>
      </c>
      <c r="F1055" s="8" t="str">
        <f>"1996-05-14"</f>
        <v>1996-05-14</v>
      </c>
      <c r="G1055" s="9"/>
    </row>
    <row r="1056" spans="1:7" ht="13.5">
      <c r="A1056" s="7">
        <v>1054</v>
      </c>
      <c r="B1056" s="8" t="str">
        <f>"234120200831160635375"</f>
        <v>234120200831160635375</v>
      </c>
      <c r="C1056" s="8" t="s">
        <v>9</v>
      </c>
      <c r="D1056" s="8" t="str">
        <f>"薛婆保"</f>
        <v>薛婆保</v>
      </c>
      <c r="E1056" s="8" t="str">
        <f aca="true" t="shared" si="42" ref="E1056:E1082">"女"</f>
        <v>女</v>
      </c>
      <c r="F1056" s="8" t="str">
        <f>"1994-10-21"</f>
        <v>1994-10-21</v>
      </c>
      <c r="G1056" s="9"/>
    </row>
    <row r="1057" spans="1:7" ht="13.5">
      <c r="A1057" s="7">
        <v>1055</v>
      </c>
      <c r="B1057" s="8" t="str">
        <f>"234120200831161037376"</f>
        <v>234120200831161037376</v>
      </c>
      <c r="C1057" s="8" t="s">
        <v>9</v>
      </c>
      <c r="D1057" s="8" t="str">
        <f>"王冬雪"</f>
        <v>王冬雪</v>
      </c>
      <c r="E1057" s="8" t="str">
        <f t="shared" si="42"/>
        <v>女</v>
      </c>
      <c r="F1057" s="8" t="str">
        <f>"1990-08-08"</f>
        <v>1990-08-08</v>
      </c>
      <c r="G1057" s="9"/>
    </row>
    <row r="1058" spans="1:7" ht="13.5">
      <c r="A1058" s="7">
        <v>1056</v>
      </c>
      <c r="B1058" s="8" t="str">
        <f>"234120200831161306378"</f>
        <v>234120200831161306378</v>
      </c>
      <c r="C1058" s="8" t="s">
        <v>9</v>
      </c>
      <c r="D1058" s="8" t="str">
        <f>"符逢桃"</f>
        <v>符逢桃</v>
      </c>
      <c r="E1058" s="8" t="str">
        <f t="shared" si="42"/>
        <v>女</v>
      </c>
      <c r="F1058" s="8" t="str">
        <f>"1994-10-22"</f>
        <v>1994-10-22</v>
      </c>
      <c r="G1058" s="9"/>
    </row>
    <row r="1059" spans="1:7" ht="13.5">
      <c r="A1059" s="7">
        <v>1057</v>
      </c>
      <c r="B1059" s="8" t="str">
        <f>"234120200831162915386"</f>
        <v>234120200831162915386</v>
      </c>
      <c r="C1059" s="8" t="s">
        <v>9</v>
      </c>
      <c r="D1059" s="8" t="str">
        <f>"肖淑妮"</f>
        <v>肖淑妮</v>
      </c>
      <c r="E1059" s="8" t="str">
        <f t="shared" si="42"/>
        <v>女</v>
      </c>
      <c r="F1059" s="8" t="str">
        <f>"1994-09-02"</f>
        <v>1994-09-02</v>
      </c>
      <c r="G1059" s="9"/>
    </row>
    <row r="1060" spans="1:7" ht="13.5">
      <c r="A1060" s="7">
        <v>1058</v>
      </c>
      <c r="B1060" s="8" t="str">
        <f>"234120200831163554391"</f>
        <v>234120200831163554391</v>
      </c>
      <c r="C1060" s="8" t="s">
        <v>9</v>
      </c>
      <c r="D1060" s="8" t="str">
        <f>"符娇"</f>
        <v>符娇</v>
      </c>
      <c r="E1060" s="8" t="str">
        <f t="shared" si="42"/>
        <v>女</v>
      </c>
      <c r="F1060" s="8" t="str">
        <f>"1998-09-18"</f>
        <v>1998-09-18</v>
      </c>
      <c r="G1060" s="9"/>
    </row>
    <row r="1061" spans="1:7" ht="13.5">
      <c r="A1061" s="7">
        <v>1059</v>
      </c>
      <c r="B1061" s="8" t="str">
        <f>"234120200831164051394"</f>
        <v>234120200831164051394</v>
      </c>
      <c r="C1061" s="8" t="s">
        <v>9</v>
      </c>
      <c r="D1061" s="8" t="str">
        <f>"罗冰冰"</f>
        <v>罗冰冰</v>
      </c>
      <c r="E1061" s="8" t="str">
        <f t="shared" si="42"/>
        <v>女</v>
      </c>
      <c r="F1061" s="8" t="str">
        <f>"1991-05-10"</f>
        <v>1991-05-10</v>
      </c>
      <c r="G1061" s="9"/>
    </row>
    <row r="1062" spans="1:7" ht="13.5">
      <c r="A1062" s="7">
        <v>1060</v>
      </c>
      <c r="B1062" s="8" t="str">
        <f>"234120200831164239396"</f>
        <v>234120200831164239396</v>
      </c>
      <c r="C1062" s="8" t="s">
        <v>9</v>
      </c>
      <c r="D1062" s="8" t="str">
        <f>"侯晶"</f>
        <v>侯晶</v>
      </c>
      <c r="E1062" s="8" t="str">
        <f t="shared" si="42"/>
        <v>女</v>
      </c>
      <c r="F1062" s="8" t="str">
        <f>"1988-10-13"</f>
        <v>1988-10-13</v>
      </c>
      <c r="G1062" s="9"/>
    </row>
    <row r="1063" spans="1:7" ht="13.5">
      <c r="A1063" s="7">
        <v>1061</v>
      </c>
      <c r="B1063" s="8" t="str">
        <f>"234120200831165733402"</f>
        <v>234120200831165733402</v>
      </c>
      <c r="C1063" s="8" t="s">
        <v>9</v>
      </c>
      <c r="D1063" s="8" t="str">
        <f>"朱娟葵"</f>
        <v>朱娟葵</v>
      </c>
      <c r="E1063" s="8" t="str">
        <f t="shared" si="42"/>
        <v>女</v>
      </c>
      <c r="F1063" s="8" t="str">
        <f>"1994-05-04"</f>
        <v>1994-05-04</v>
      </c>
      <c r="G1063" s="9"/>
    </row>
    <row r="1064" spans="1:7" ht="13.5">
      <c r="A1064" s="7">
        <v>1062</v>
      </c>
      <c r="B1064" s="8" t="str">
        <f>"234120200831165747403"</f>
        <v>234120200831165747403</v>
      </c>
      <c r="C1064" s="8" t="s">
        <v>9</v>
      </c>
      <c r="D1064" s="8" t="str">
        <f>"陈少霞"</f>
        <v>陈少霞</v>
      </c>
      <c r="E1064" s="8" t="str">
        <f t="shared" si="42"/>
        <v>女</v>
      </c>
      <c r="F1064" s="8" t="str">
        <f>"1990-04-25"</f>
        <v>1990-04-25</v>
      </c>
      <c r="G1064" s="9"/>
    </row>
    <row r="1065" spans="1:7" ht="13.5">
      <c r="A1065" s="7">
        <v>1063</v>
      </c>
      <c r="B1065" s="8" t="str">
        <f>"234120200831171139411"</f>
        <v>234120200831171139411</v>
      </c>
      <c r="C1065" s="8" t="s">
        <v>9</v>
      </c>
      <c r="D1065" s="8" t="str">
        <f>"刘清"</f>
        <v>刘清</v>
      </c>
      <c r="E1065" s="8" t="str">
        <f t="shared" si="42"/>
        <v>女</v>
      </c>
      <c r="F1065" s="8" t="str">
        <f>"1986-06-09"</f>
        <v>1986-06-09</v>
      </c>
      <c r="G1065" s="9"/>
    </row>
    <row r="1066" spans="1:7" ht="13.5">
      <c r="A1066" s="7">
        <v>1064</v>
      </c>
      <c r="B1066" s="8" t="str">
        <f>"234120200831171335412"</f>
        <v>234120200831171335412</v>
      </c>
      <c r="C1066" s="8" t="s">
        <v>9</v>
      </c>
      <c r="D1066" s="8" t="str">
        <f>"韩霞"</f>
        <v>韩霞</v>
      </c>
      <c r="E1066" s="8" t="str">
        <f t="shared" si="42"/>
        <v>女</v>
      </c>
      <c r="F1066" s="8" t="str">
        <f>"1994-07-24"</f>
        <v>1994-07-24</v>
      </c>
      <c r="G1066" s="9"/>
    </row>
    <row r="1067" spans="1:7" ht="13.5">
      <c r="A1067" s="7">
        <v>1065</v>
      </c>
      <c r="B1067" s="8" t="str">
        <f>"234120200831171454413"</f>
        <v>234120200831171454413</v>
      </c>
      <c r="C1067" s="8" t="s">
        <v>9</v>
      </c>
      <c r="D1067" s="8" t="str">
        <f>"李霞"</f>
        <v>李霞</v>
      </c>
      <c r="E1067" s="8" t="str">
        <f t="shared" si="42"/>
        <v>女</v>
      </c>
      <c r="F1067" s="8" t="str">
        <f>"1996-08-09"</f>
        <v>1996-08-09</v>
      </c>
      <c r="G1067" s="9"/>
    </row>
    <row r="1068" spans="1:7" ht="13.5">
      <c r="A1068" s="7">
        <v>1066</v>
      </c>
      <c r="B1068" s="8" t="str">
        <f>"234120200831173556423"</f>
        <v>234120200831173556423</v>
      </c>
      <c r="C1068" s="8" t="s">
        <v>9</v>
      </c>
      <c r="D1068" s="8" t="str">
        <f>"刘颖"</f>
        <v>刘颖</v>
      </c>
      <c r="E1068" s="8" t="str">
        <f t="shared" si="42"/>
        <v>女</v>
      </c>
      <c r="F1068" s="8" t="str">
        <f>"1996-09-07"</f>
        <v>1996-09-07</v>
      </c>
      <c r="G1068" s="9"/>
    </row>
    <row r="1069" spans="1:7" ht="13.5">
      <c r="A1069" s="7">
        <v>1067</v>
      </c>
      <c r="B1069" s="8" t="str">
        <f>"234120200831173855425"</f>
        <v>234120200831173855425</v>
      </c>
      <c r="C1069" s="8" t="s">
        <v>9</v>
      </c>
      <c r="D1069" s="8" t="str">
        <f>"郭菲"</f>
        <v>郭菲</v>
      </c>
      <c r="E1069" s="8" t="str">
        <f t="shared" si="42"/>
        <v>女</v>
      </c>
      <c r="F1069" s="8" t="str">
        <f>"1996-09-27"</f>
        <v>1996-09-27</v>
      </c>
      <c r="G1069" s="9"/>
    </row>
    <row r="1070" spans="1:7" ht="13.5">
      <c r="A1070" s="7">
        <v>1068</v>
      </c>
      <c r="B1070" s="8" t="str">
        <f>"234120200831174344428"</f>
        <v>234120200831174344428</v>
      </c>
      <c r="C1070" s="8" t="s">
        <v>9</v>
      </c>
      <c r="D1070" s="8" t="str">
        <f>"蒙荧"</f>
        <v>蒙荧</v>
      </c>
      <c r="E1070" s="8" t="str">
        <f t="shared" si="42"/>
        <v>女</v>
      </c>
      <c r="F1070" s="8" t="str">
        <f>"1996-01-03"</f>
        <v>1996-01-03</v>
      </c>
      <c r="G1070" s="9"/>
    </row>
    <row r="1071" spans="1:7" ht="13.5">
      <c r="A1071" s="7">
        <v>1069</v>
      </c>
      <c r="B1071" s="8" t="str">
        <f>"234120200831174704429"</f>
        <v>234120200831174704429</v>
      </c>
      <c r="C1071" s="8" t="s">
        <v>9</v>
      </c>
      <c r="D1071" s="8" t="str">
        <f>"周雪优"</f>
        <v>周雪优</v>
      </c>
      <c r="E1071" s="8" t="str">
        <f t="shared" si="42"/>
        <v>女</v>
      </c>
      <c r="F1071" s="8" t="str">
        <f>"1996-12-18"</f>
        <v>1996-12-18</v>
      </c>
      <c r="G1071" s="9"/>
    </row>
    <row r="1072" spans="1:7" ht="13.5">
      <c r="A1072" s="7">
        <v>1070</v>
      </c>
      <c r="B1072" s="8" t="str">
        <f>"234120200831174726431"</f>
        <v>234120200831174726431</v>
      </c>
      <c r="C1072" s="8" t="s">
        <v>9</v>
      </c>
      <c r="D1072" s="8" t="str">
        <f>"林明娜"</f>
        <v>林明娜</v>
      </c>
      <c r="E1072" s="8" t="str">
        <f t="shared" si="42"/>
        <v>女</v>
      </c>
      <c r="F1072" s="8" t="str">
        <f>"1994-06-17"</f>
        <v>1994-06-17</v>
      </c>
      <c r="G1072" s="9"/>
    </row>
    <row r="1073" spans="1:7" ht="13.5">
      <c r="A1073" s="7">
        <v>1071</v>
      </c>
      <c r="B1073" s="8" t="str">
        <f>"234120200831174817432"</f>
        <v>234120200831174817432</v>
      </c>
      <c r="C1073" s="8" t="s">
        <v>9</v>
      </c>
      <c r="D1073" s="8" t="str">
        <f>"伍显艺"</f>
        <v>伍显艺</v>
      </c>
      <c r="E1073" s="8" t="str">
        <f t="shared" si="42"/>
        <v>女</v>
      </c>
      <c r="F1073" s="8" t="str">
        <f>"1992-07-12"</f>
        <v>1992-07-12</v>
      </c>
      <c r="G1073" s="9"/>
    </row>
    <row r="1074" spans="1:7" ht="13.5">
      <c r="A1074" s="7">
        <v>1072</v>
      </c>
      <c r="B1074" s="8" t="str">
        <f>"234120200831175246436"</f>
        <v>234120200831175246436</v>
      </c>
      <c r="C1074" s="8" t="s">
        <v>9</v>
      </c>
      <c r="D1074" s="8" t="str">
        <f>"许秋香"</f>
        <v>许秋香</v>
      </c>
      <c r="E1074" s="8" t="str">
        <f t="shared" si="42"/>
        <v>女</v>
      </c>
      <c r="F1074" s="8" t="str">
        <f>"1995-12-11"</f>
        <v>1995-12-11</v>
      </c>
      <c r="G1074" s="9"/>
    </row>
    <row r="1075" spans="1:7" ht="13.5">
      <c r="A1075" s="7">
        <v>1073</v>
      </c>
      <c r="B1075" s="8" t="str">
        <f>"234120200831175709437"</f>
        <v>234120200831175709437</v>
      </c>
      <c r="C1075" s="8" t="s">
        <v>9</v>
      </c>
      <c r="D1075" s="8" t="str">
        <f>"韦朗"</f>
        <v>韦朗</v>
      </c>
      <c r="E1075" s="8" t="str">
        <f t="shared" si="42"/>
        <v>女</v>
      </c>
      <c r="F1075" s="8" t="str">
        <f>"1996-11-13"</f>
        <v>1996-11-13</v>
      </c>
      <c r="G1075" s="9"/>
    </row>
    <row r="1076" spans="1:7" ht="13.5">
      <c r="A1076" s="7">
        <v>1074</v>
      </c>
      <c r="B1076" s="8" t="str">
        <f>"234120200831180031438"</f>
        <v>234120200831180031438</v>
      </c>
      <c r="C1076" s="8" t="s">
        <v>9</v>
      </c>
      <c r="D1076" s="8" t="str">
        <f>"王小芳"</f>
        <v>王小芳</v>
      </c>
      <c r="E1076" s="8" t="str">
        <f t="shared" si="42"/>
        <v>女</v>
      </c>
      <c r="F1076" s="8" t="str">
        <f>"1994-11-26"</f>
        <v>1994-11-26</v>
      </c>
      <c r="G1076" s="9"/>
    </row>
    <row r="1077" spans="1:7" ht="13.5">
      <c r="A1077" s="7">
        <v>1075</v>
      </c>
      <c r="B1077" s="8" t="str">
        <f>"234120200831180053439"</f>
        <v>234120200831180053439</v>
      </c>
      <c r="C1077" s="8" t="s">
        <v>9</v>
      </c>
      <c r="D1077" s="8" t="str">
        <f>"杨启萍"</f>
        <v>杨启萍</v>
      </c>
      <c r="E1077" s="8" t="str">
        <f t="shared" si="42"/>
        <v>女</v>
      </c>
      <c r="F1077" s="8" t="str">
        <f>"1994-10-29"</f>
        <v>1994-10-29</v>
      </c>
      <c r="G1077" s="9"/>
    </row>
    <row r="1078" spans="1:7" ht="13.5">
      <c r="A1078" s="7">
        <v>1076</v>
      </c>
      <c r="B1078" s="8" t="str">
        <f>"234120200831180624441"</f>
        <v>234120200831180624441</v>
      </c>
      <c r="C1078" s="8" t="s">
        <v>9</v>
      </c>
      <c r="D1078" s="8" t="str">
        <f>"胡春秋"</f>
        <v>胡春秋</v>
      </c>
      <c r="E1078" s="8" t="str">
        <f t="shared" si="42"/>
        <v>女</v>
      </c>
      <c r="F1078" s="8" t="str">
        <f>"1994-04-21"</f>
        <v>1994-04-21</v>
      </c>
      <c r="G1078" s="9"/>
    </row>
    <row r="1079" spans="1:7" ht="13.5">
      <c r="A1079" s="7">
        <v>1077</v>
      </c>
      <c r="B1079" s="8" t="str">
        <f>"234120200831181326445"</f>
        <v>234120200831181326445</v>
      </c>
      <c r="C1079" s="8" t="s">
        <v>9</v>
      </c>
      <c r="D1079" s="8" t="str">
        <f>"李小儒"</f>
        <v>李小儒</v>
      </c>
      <c r="E1079" s="8" t="str">
        <f t="shared" si="42"/>
        <v>女</v>
      </c>
      <c r="F1079" s="8" t="str">
        <f>"1990-06-07"</f>
        <v>1990-06-07</v>
      </c>
      <c r="G1079" s="9"/>
    </row>
    <row r="1080" spans="1:7" ht="13.5">
      <c r="A1080" s="7">
        <v>1078</v>
      </c>
      <c r="B1080" s="8" t="str">
        <f>"234120200831182628448"</f>
        <v>234120200831182628448</v>
      </c>
      <c r="C1080" s="8" t="s">
        <v>9</v>
      </c>
      <c r="D1080" s="8" t="str">
        <f>"刘小翠"</f>
        <v>刘小翠</v>
      </c>
      <c r="E1080" s="8" t="str">
        <f t="shared" si="42"/>
        <v>女</v>
      </c>
      <c r="F1080" s="8" t="str">
        <f>"1997年10月"</f>
        <v>1997年10月</v>
      </c>
      <c r="G1080" s="9"/>
    </row>
    <row r="1081" spans="1:7" ht="13.5">
      <c r="A1081" s="7">
        <v>1079</v>
      </c>
      <c r="B1081" s="8" t="str">
        <f>"234120200831183914455"</f>
        <v>234120200831183914455</v>
      </c>
      <c r="C1081" s="8" t="s">
        <v>9</v>
      </c>
      <c r="D1081" s="8" t="str">
        <f>"陈蕊"</f>
        <v>陈蕊</v>
      </c>
      <c r="E1081" s="8" t="str">
        <f t="shared" si="42"/>
        <v>女</v>
      </c>
      <c r="F1081" s="8" t="str">
        <f>"1997-07-25"</f>
        <v>1997-07-25</v>
      </c>
      <c r="G1081" s="9"/>
    </row>
    <row r="1082" spans="1:7" ht="13.5">
      <c r="A1082" s="7">
        <v>1080</v>
      </c>
      <c r="B1082" s="8" t="str">
        <f>"234120200831184733463"</f>
        <v>234120200831184733463</v>
      </c>
      <c r="C1082" s="8" t="s">
        <v>9</v>
      </c>
      <c r="D1082" s="8" t="str">
        <f>"王颖"</f>
        <v>王颖</v>
      </c>
      <c r="E1082" s="8" t="str">
        <f t="shared" si="42"/>
        <v>女</v>
      </c>
      <c r="F1082" s="8" t="str">
        <f>"1995.02"</f>
        <v>1995.02</v>
      </c>
      <c r="G1082" s="9"/>
    </row>
    <row r="1083" spans="1:7" ht="13.5">
      <c r="A1083" s="7">
        <v>1081</v>
      </c>
      <c r="B1083" s="8" t="str">
        <f>"234120200831185915466"</f>
        <v>234120200831185915466</v>
      </c>
      <c r="C1083" s="8" t="s">
        <v>9</v>
      </c>
      <c r="D1083" s="8" t="str">
        <f>"赖锦朝"</f>
        <v>赖锦朝</v>
      </c>
      <c r="E1083" s="8" t="str">
        <f>"男"</f>
        <v>男</v>
      </c>
      <c r="F1083" s="8" t="str">
        <f>"1996-06-06"</f>
        <v>1996-06-06</v>
      </c>
      <c r="G1083" s="9"/>
    </row>
    <row r="1084" spans="1:7" ht="13.5">
      <c r="A1084" s="7">
        <v>1082</v>
      </c>
      <c r="B1084" s="8" t="str">
        <f>"234120200831192158471"</f>
        <v>234120200831192158471</v>
      </c>
      <c r="C1084" s="8" t="s">
        <v>9</v>
      </c>
      <c r="D1084" s="8" t="str">
        <f>"王秋妹"</f>
        <v>王秋妹</v>
      </c>
      <c r="E1084" s="8" t="str">
        <f>"女"</f>
        <v>女</v>
      </c>
      <c r="F1084" s="8" t="str">
        <f>"1992-07-21"</f>
        <v>1992-07-21</v>
      </c>
      <c r="G1084" s="9"/>
    </row>
    <row r="1085" spans="1:7" ht="13.5">
      <c r="A1085" s="7">
        <v>1083</v>
      </c>
      <c r="B1085" s="8" t="str">
        <f>"234120200831192434473"</f>
        <v>234120200831192434473</v>
      </c>
      <c r="C1085" s="8" t="s">
        <v>9</v>
      </c>
      <c r="D1085" s="8" t="str">
        <f>"徐鸿惠"</f>
        <v>徐鸿惠</v>
      </c>
      <c r="E1085" s="8" t="str">
        <f>"女"</f>
        <v>女</v>
      </c>
      <c r="F1085" s="8" t="str">
        <f>"1995-08-12"</f>
        <v>1995-08-12</v>
      </c>
      <c r="G1085" s="9"/>
    </row>
    <row r="1086" spans="1:7" ht="13.5">
      <c r="A1086" s="7">
        <v>1084</v>
      </c>
      <c r="B1086" s="8" t="str">
        <f>"234120200831192451474"</f>
        <v>234120200831192451474</v>
      </c>
      <c r="C1086" s="8" t="s">
        <v>9</v>
      </c>
      <c r="D1086" s="8" t="str">
        <f>"赵金梅"</f>
        <v>赵金梅</v>
      </c>
      <c r="E1086" s="8" t="str">
        <f>"女"</f>
        <v>女</v>
      </c>
      <c r="F1086" s="8" t="str">
        <f>"1995-07-13"</f>
        <v>1995-07-13</v>
      </c>
      <c r="G1086" s="9"/>
    </row>
    <row r="1087" spans="1:7" ht="13.5">
      <c r="A1087" s="7">
        <v>1085</v>
      </c>
      <c r="B1087" s="8" t="str">
        <f>"234120200831192557475"</f>
        <v>234120200831192557475</v>
      </c>
      <c r="C1087" s="8" t="s">
        <v>9</v>
      </c>
      <c r="D1087" s="8" t="str">
        <f>"曾锋"</f>
        <v>曾锋</v>
      </c>
      <c r="E1087" s="8" t="str">
        <f>"男"</f>
        <v>男</v>
      </c>
      <c r="F1087" s="8" t="str">
        <f>"1994-10-16"</f>
        <v>1994-10-16</v>
      </c>
      <c r="G1087" s="9"/>
    </row>
    <row r="1088" spans="1:7" ht="13.5">
      <c r="A1088" s="7">
        <v>1086</v>
      </c>
      <c r="B1088" s="8" t="str">
        <f>"234120200831194134478"</f>
        <v>234120200831194134478</v>
      </c>
      <c r="C1088" s="8" t="s">
        <v>9</v>
      </c>
      <c r="D1088" s="8" t="str">
        <f>"谢佳佳"</f>
        <v>谢佳佳</v>
      </c>
      <c r="E1088" s="8" t="str">
        <f>"女"</f>
        <v>女</v>
      </c>
      <c r="F1088" s="8" t="str">
        <f>"1989-12-13"</f>
        <v>1989-12-13</v>
      </c>
      <c r="G1088" s="9"/>
    </row>
    <row r="1089" spans="1:7" ht="13.5">
      <c r="A1089" s="7">
        <v>1087</v>
      </c>
      <c r="B1089" s="8" t="str">
        <f>"234120200831195026479"</f>
        <v>234120200831195026479</v>
      </c>
      <c r="C1089" s="8" t="s">
        <v>9</v>
      </c>
      <c r="D1089" s="8" t="str">
        <f>"杨雄志"</f>
        <v>杨雄志</v>
      </c>
      <c r="E1089" s="8" t="str">
        <f>"男"</f>
        <v>男</v>
      </c>
      <c r="F1089" s="8" t="str">
        <f>"1991-06-09"</f>
        <v>1991-06-09</v>
      </c>
      <c r="G1089" s="9"/>
    </row>
    <row r="1090" spans="1:7" ht="13.5">
      <c r="A1090" s="7">
        <v>1088</v>
      </c>
      <c r="B1090" s="8" t="str">
        <f>"234120200831195512482"</f>
        <v>234120200831195512482</v>
      </c>
      <c r="C1090" s="8" t="s">
        <v>9</v>
      </c>
      <c r="D1090" s="8" t="str">
        <f>"张创清"</f>
        <v>张创清</v>
      </c>
      <c r="E1090" s="8" t="str">
        <f>"男"</f>
        <v>男</v>
      </c>
      <c r="F1090" s="8" t="str">
        <f>"1990-07-18"</f>
        <v>1990-07-18</v>
      </c>
      <c r="G1090" s="9"/>
    </row>
    <row r="1091" spans="1:7" ht="13.5">
      <c r="A1091" s="7">
        <v>1089</v>
      </c>
      <c r="B1091" s="8" t="str">
        <f>"234120200831195512483"</f>
        <v>234120200831195512483</v>
      </c>
      <c r="C1091" s="8" t="s">
        <v>9</v>
      </c>
      <c r="D1091" s="8" t="str">
        <f>"王小燕"</f>
        <v>王小燕</v>
      </c>
      <c r="E1091" s="8" t="str">
        <f aca="true" t="shared" si="43" ref="E1091:E1097">"女"</f>
        <v>女</v>
      </c>
      <c r="F1091" s="8" t="str">
        <f>"1995-10-01"</f>
        <v>1995-10-01</v>
      </c>
      <c r="G1091" s="9"/>
    </row>
    <row r="1092" spans="1:7" ht="13.5">
      <c r="A1092" s="7">
        <v>1090</v>
      </c>
      <c r="B1092" s="8" t="str">
        <f>"234120200831200246488"</f>
        <v>234120200831200246488</v>
      </c>
      <c r="C1092" s="8" t="s">
        <v>9</v>
      </c>
      <c r="D1092" s="8" t="str">
        <f>"杨美丽"</f>
        <v>杨美丽</v>
      </c>
      <c r="E1092" s="8" t="str">
        <f t="shared" si="43"/>
        <v>女</v>
      </c>
      <c r="F1092" s="8" t="str">
        <f>"1993-05-12"</f>
        <v>1993-05-12</v>
      </c>
      <c r="G1092" s="9"/>
    </row>
    <row r="1093" spans="1:7" ht="13.5">
      <c r="A1093" s="7">
        <v>1091</v>
      </c>
      <c r="B1093" s="8" t="str">
        <f>"234120200831200552489"</f>
        <v>234120200831200552489</v>
      </c>
      <c r="C1093" s="8" t="s">
        <v>9</v>
      </c>
      <c r="D1093" s="8" t="str">
        <f>"吴婉妮"</f>
        <v>吴婉妮</v>
      </c>
      <c r="E1093" s="8" t="str">
        <f t="shared" si="43"/>
        <v>女</v>
      </c>
      <c r="F1093" s="8" t="str">
        <f>"1991-09-15"</f>
        <v>1991-09-15</v>
      </c>
      <c r="G1093" s="9"/>
    </row>
    <row r="1094" spans="1:7" ht="13.5">
      <c r="A1094" s="7">
        <v>1092</v>
      </c>
      <c r="B1094" s="8" t="str">
        <f>"234120200831201507492"</f>
        <v>234120200831201507492</v>
      </c>
      <c r="C1094" s="8" t="s">
        <v>9</v>
      </c>
      <c r="D1094" s="8" t="str">
        <f>"方净"</f>
        <v>方净</v>
      </c>
      <c r="E1094" s="8" t="str">
        <f t="shared" si="43"/>
        <v>女</v>
      </c>
      <c r="F1094" s="8" t="str">
        <f>"1989-08-15"</f>
        <v>1989-08-15</v>
      </c>
      <c r="G1094" s="9"/>
    </row>
    <row r="1095" spans="1:7" ht="13.5">
      <c r="A1095" s="7">
        <v>1093</v>
      </c>
      <c r="B1095" s="8" t="str">
        <f>"234120200831201526494"</f>
        <v>234120200831201526494</v>
      </c>
      <c r="C1095" s="8" t="s">
        <v>9</v>
      </c>
      <c r="D1095" s="8" t="str">
        <f>"符玉美"</f>
        <v>符玉美</v>
      </c>
      <c r="E1095" s="8" t="str">
        <f t="shared" si="43"/>
        <v>女</v>
      </c>
      <c r="F1095" s="8" t="str">
        <f>"1995-05-08"</f>
        <v>1995-05-08</v>
      </c>
      <c r="G1095" s="9"/>
    </row>
    <row r="1096" spans="1:7" ht="13.5">
      <c r="A1096" s="7">
        <v>1094</v>
      </c>
      <c r="B1096" s="8" t="str">
        <f>"234120200831202737501"</f>
        <v>234120200831202737501</v>
      </c>
      <c r="C1096" s="8" t="s">
        <v>9</v>
      </c>
      <c r="D1096" s="8" t="str">
        <f>"邱名巧"</f>
        <v>邱名巧</v>
      </c>
      <c r="E1096" s="8" t="str">
        <f t="shared" si="43"/>
        <v>女</v>
      </c>
      <c r="F1096" s="8" t="str">
        <f>"1995-11-17"</f>
        <v>1995-11-17</v>
      </c>
      <c r="G1096" s="9"/>
    </row>
    <row r="1097" spans="1:7" ht="13.5">
      <c r="A1097" s="7">
        <v>1095</v>
      </c>
      <c r="B1097" s="8" t="str">
        <f>"234120200831203846508"</f>
        <v>234120200831203846508</v>
      </c>
      <c r="C1097" s="8" t="s">
        <v>9</v>
      </c>
      <c r="D1097" s="8" t="str">
        <f>"庞雯娜"</f>
        <v>庞雯娜</v>
      </c>
      <c r="E1097" s="8" t="str">
        <f t="shared" si="43"/>
        <v>女</v>
      </c>
      <c r="F1097" s="8" t="str">
        <f>"1993-05-01"</f>
        <v>1993-05-01</v>
      </c>
      <c r="G1097" s="9"/>
    </row>
    <row r="1098" spans="1:7" ht="13.5">
      <c r="A1098" s="7">
        <v>1096</v>
      </c>
      <c r="B1098" s="8" t="str">
        <f>"234120200831203947509"</f>
        <v>234120200831203947509</v>
      </c>
      <c r="C1098" s="8" t="s">
        <v>9</v>
      </c>
      <c r="D1098" s="8" t="str">
        <f>"杨登"</f>
        <v>杨登</v>
      </c>
      <c r="E1098" s="8" t="str">
        <f>"男"</f>
        <v>男</v>
      </c>
      <c r="F1098" s="8" t="str">
        <f>"1993-03-18"</f>
        <v>1993-03-18</v>
      </c>
      <c r="G1098" s="9"/>
    </row>
    <row r="1099" spans="1:7" ht="13.5">
      <c r="A1099" s="7">
        <v>1097</v>
      </c>
      <c r="B1099" s="8" t="str">
        <f>"234120200831205022514"</f>
        <v>234120200831205022514</v>
      </c>
      <c r="C1099" s="8" t="s">
        <v>9</v>
      </c>
      <c r="D1099" s="8" t="str">
        <f>"翁先仙"</f>
        <v>翁先仙</v>
      </c>
      <c r="E1099" s="8" t="str">
        <f aca="true" t="shared" si="44" ref="E1099:E1113">"女"</f>
        <v>女</v>
      </c>
      <c r="F1099" s="8" t="str">
        <f>"1994-07-25"</f>
        <v>1994-07-25</v>
      </c>
      <c r="G1099" s="9"/>
    </row>
    <row r="1100" spans="1:7" ht="13.5">
      <c r="A1100" s="7">
        <v>1098</v>
      </c>
      <c r="B1100" s="8" t="str">
        <f>"234120200831213211531"</f>
        <v>234120200831213211531</v>
      </c>
      <c r="C1100" s="8" t="s">
        <v>9</v>
      </c>
      <c r="D1100" s="8" t="str">
        <f>"符丽妹"</f>
        <v>符丽妹</v>
      </c>
      <c r="E1100" s="8" t="str">
        <f t="shared" si="44"/>
        <v>女</v>
      </c>
      <c r="F1100" s="8" t="str">
        <f>"1997-03-13"</f>
        <v>1997-03-13</v>
      </c>
      <c r="G1100" s="9"/>
    </row>
    <row r="1101" spans="1:7" ht="13.5">
      <c r="A1101" s="7">
        <v>1099</v>
      </c>
      <c r="B1101" s="8" t="str">
        <f>"234120200831214708537"</f>
        <v>234120200831214708537</v>
      </c>
      <c r="C1101" s="8" t="s">
        <v>9</v>
      </c>
      <c r="D1101" s="8" t="str">
        <f>"冯红味"</f>
        <v>冯红味</v>
      </c>
      <c r="E1101" s="8" t="str">
        <f t="shared" si="44"/>
        <v>女</v>
      </c>
      <c r="F1101" s="8" t="str">
        <f>"1992-09-29"</f>
        <v>1992-09-29</v>
      </c>
      <c r="G1101" s="9"/>
    </row>
    <row r="1102" spans="1:7" ht="13.5">
      <c r="A1102" s="7">
        <v>1100</v>
      </c>
      <c r="B1102" s="8" t="str">
        <f>"234120200831215453541"</f>
        <v>234120200831215453541</v>
      </c>
      <c r="C1102" s="8" t="s">
        <v>9</v>
      </c>
      <c r="D1102" s="8" t="str">
        <f>" 吴琼淑"</f>
        <v> 吴琼淑</v>
      </c>
      <c r="E1102" s="8" t="str">
        <f t="shared" si="44"/>
        <v>女</v>
      </c>
      <c r="F1102" s="8" t="str">
        <f>"1991-01-11"</f>
        <v>1991-01-11</v>
      </c>
      <c r="G1102" s="9"/>
    </row>
    <row r="1103" spans="1:7" ht="13.5">
      <c r="A1103" s="7">
        <v>1101</v>
      </c>
      <c r="B1103" s="8" t="str">
        <f>"234120200831220615544"</f>
        <v>234120200831220615544</v>
      </c>
      <c r="C1103" s="8" t="s">
        <v>9</v>
      </c>
      <c r="D1103" s="8" t="str">
        <f>"王书美"</f>
        <v>王书美</v>
      </c>
      <c r="E1103" s="8" t="str">
        <f t="shared" si="44"/>
        <v>女</v>
      </c>
      <c r="F1103" s="8" t="str">
        <f>"1993-09-27"</f>
        <v>1993-09-27</v>
      </c>
      <c r="G1103" s="9"/>
    </row>
    <row r="1104" spans="1:7" ht="13.5">
      <c r="A1104" s="7">
        <v>1102</v>
      </c>
      <c r="B1104" s="8" t="str">
        <f>"234120200831221344547"</f>
        <v>234120200831221344547</v>
      </c>
      <c r="C1104" s="8" t="s">
        <v>9</v>
      </c>
      <c r="D1104" s="8" t="str">
        <f>"冯小云"</f>
        <v>冯小云</v>
      </c>
      <c r="E1104" s="8" t="str">
        <f t="shared" si="44"/>
        <v>女</v>
      </c>
      <c r="F1104" s="8" t="str">
        <f>"1995-06-05"</f>
        <v>1995-06-05</v>
      </c>
      <c r="G1104" s="9"/>
    </row>
    <row r="1105" spans="1:7" ht="13.5">
      <c r="A1105" s="7">
        <v>1103</v>
      </c>
      <c r="B1105" s="8" t="str">
        <f>"234120200831223112554"</f>
        <v>234120200831223112554</v>
      </c>
      <c r="C1105" s="8" t="s">
        <v>9</v>
      </c>
      <c r="D1105" s="8" t="str">
        <f>"许汝萍"</f>
        <v>许汝萍</v>
      </c>
      <c r="E1105" s="8" t="str">
        <f t="shared" si="44"/>
        <v>女</v>
      </c>
      <c r="F1105" s="8" t="str">
        <f>"1995-05-02"</f>
        <v>1995-05-02</v>
      </c>
      <c r="G1105" s="9"/>
    </row>
    <row r="1106" spans="1:7" ht="13.5">
      <c r="A1106" s="7">
        <v>1104</v>
      </c>
      <c r="B1106" s="8" t="str">
        <f>"234120200831224104555"</f>
        <v>234120200831224104555</v>
      </c>
      <c r="C1106" s="8" t="s">
        <v>9</v>
      </c>
      <c r="D1106" s="8" t="str">
        <f>"崔琼文"</f>
        <v>崔琼文</v>
      </c>
      <c r="E1106" s="8" t="str">
        <f t="shared" si="44"/>
        <v>女</v>
      </c>
      <c r="F1106" s="8" t="str">
        <f>"1995-10-05"</f>
        <v>1995-10-05</v>
      </c>
      <c r="G1106" s="9"/>
    </row>
    <row r="1107" spans="1:7" ht="13.5">
      <c r="A1107" s="7">
        <v>1105</v>
      </c>
      <c r="B1107" s="8" t="str">
        <f>"234120200831224541557"</f>
        <v>234120200831224541557</v>
      </c>
      <c r="C1107" s="8" t="s">
        <v>9</v>
      </c>
      <c r="D1107" s="8" t="str">
        <f>"温冬映"</f>
        <v>温冬映</v>
      </c>
      <c r="E1107" s="8" t="str">
        <f t="shared" si="44"/>
        <v>女</v>
      </c>
      <c r="F1107" s="8" t="str">
        <f>"1998-06-10"</f>
        <v>1998-06-10</v>
      </c>
      <c r="G1107" s="9"/>
    </row>
    <row r="1108" spans="1:7" ht="13.5">
      <c r="A1108" s="7">
        <v>1106</v>
      </c>
      <c r="B1108" s="8" t="str">
        <f>"234120200831225047558"</f>
        <v>234120200831225047558</v>
      </c>
      <c r="C1108" s="8" t="s">
        <v>9</v>
      </c>
      <c r="D1108" s="8" t="str">
        <f>"徐小琳"</f>
        <v>徐小琳</v>
      </c>
      <c r="E1108" s="8" t="str">
        <f t="shared" si="44"/>
        <v>女</v>
      </c>
      <c r="F1108" s="8" t="str">
        <f>"1998-10-14"</f>
        <v>1998-10-14</v>
      </c>
      <c r="G1108" s="9"/>
    </row>
    <row r="1109" spans="1:7" ht="13.5">
      <c r="A1109" s="7">
        <v>1107</v>
      </c>
      <c r="B1109" s="8" t="str">
        <f>"234120200831230124563"</f>
        <v>234120200831230124563</v>
      </c>
      <c r="C1109" s="8" t="s">
        <v>9</v>
      </c>
      <c r="D1109" s="8" t="str">
        <f>"王虹"</f>
        <v>王虹</v>
      </c>
      <c r="E1109" s="8" t="str">
        <f t="shared" si="44"/>
        <v>女</v>
      </c>
      <c r="F1109" s="8" t="str">
        <f>"1997-08-09"</f>
        <v>1997-08-09</v>
      </c>
      <c r="G1109" s="9"/>
    </row>
    <row r="1110" spans="1:7" ht="13.5">
      <c r="A1110" s="7">
        <v>1108</v>
      </c>
      <c r="B1110" s="8" t="str">
        <f>"234120200831231136565"</f>
        <v>234120200831231136565</v>
      </c>
      <c r="C1110" s="8" t="s">
        <v>9</v>
      </c>
      <c r="D1110" s="8" t="str">
        <f>"高琼珠"</f>
        <v>高琼珠</v>
      </c>
      <c r="E1110" s="8" t="str">
        <f t="shared" si="44"/>
        <v>女</v>
      </c>
      <c r="F1110" s="8" t="str">
        <f>"1991-06-02"</f>
        <v>1991-06-02</v>
      </c>
      <c r="G1110" s="9"/>
    </row>
    <row r="1111" spans="1:7" ht="13.5">
      <c r="A1111" s="7">
        <v>1109</v>
      </c>
      <c r="B1111" s="8" t="str">
        <f>"234120200831232654571"</f>
        <v>234120200831232654571</v>
      </c>
      <c r="C1111" s="8" t="s">
        <v>9</v>
      </c>
      <c r="D1111" s="8" t="str">
        <f>"符慧接"</f>
        <v>符慧接</v>
      </c>
      <c r="E1111" s="8" t="str">
        <f t="shared" si="44"/>
        <v>女</v>
      </c>
      <c r="F1111" s="8" t="str">
        <f>"1994-10-20"</f>
        <v>1994-10-20</v>
      </c>
      <c r="G1111" s="9"/>
    </row>
    <row r="1112" spans="1:7" ht="13.5">
      <c r="A1112" s="7">
        <v>1110</v>
      </c>
      <c r="B1112" s="8" t="str">
        <f>"234120200831233642576"</f>
        <v>234120200831233642576</v>
      </c>
      <c r="C1112" s="8" t="s">
        <v>9</v>
      </c>
      <c r="D1112" s="8" t="str">
        <f>"杨泽燕"</f>
        <v>杨泽燕</v>
      </c>
      <c r="E1112" s="8" t="str">
        <f t="shared" si="44"/>
        <v>女</v>
      </c>
      <c r="F1112" s="8" t="str">
        <f>"1995-09-07"</f>
        <v>1995-09-07</v>
      </c>
      <c r="G1112" s="9"/>
    </row>
    <row r="1113" spans="1:7" ht="13.5">
      <c r="A1113" s="7">
        <v>1111</v>
      </c>
      <c r="B1113" s="8" t="str">
        <f>"234120200901071305583"</f>
        <v>234120200901071305583</v>
      </c>
      <c r="C1113" s="8" t="s">
        <v>9</v>
      </c>
      <c r="D1113" s="8" t="str">
        <f>"王玉云"</f>
        <v>王玉云</v>
      </c>
      <c r="E1113" s="8" t="str">
        <f t="shared" si="44"/>
        <v>女</v>
      </c>
      <c r="F1113" s="8" t="str">
        <f>"1993-08-11"</f>
        <v>1993-08-11</v>
      </c>
      <c r="G1113" s="9"/>
    </row>
    <row r="1114" spans="1:7" ht="13.5">
      <c r="A1114" s="7">
        <v>1112</v>
      </c>
      <c r="B1114" s="8" t="str">
        <f>"234120200901080447587"</f>
        <v>234120200901080447587</v>
      </c>
      <c r="C1114" s="8" t="s">
        <v>9</v>
      </c>
      <c r="D1114" s="8" t="str">
        <f>"叶泰华"</f>
        <v>叶泰华</v>
      </c>
      <c r="E1114" s="8" t="str">
        <f>"男"</f>
        <v>男</v>
      </c>
      <c r="F1114" s="8" t="str">
        <f>"1991-01-12"</f>
        <v>1991-01-12</v>
      </c>
      <c r="G1114" s="9"/>
    </row>
    <row r="1115" spans="1:7" ht="13.5">
      <c r="A1115" s="7">
        <v>1113</v>
      </c>
      <c r="B1115" s="8" t="str">
        <f>"234120200901082833590"</f>
        <v>234120200901082833590</v>
      </c>
      <c r="C1115" s="8" t="s">
        <v>9</v>
      </c>
      <c r="D1115" s="8" t="str">
        <f>"龙玲"</f>
        <v>龙玲</v>
      </c>
      <c r="E1115" s="8" t="str">
        <f>"女"</f>
        <v>女</v>
      </c>
      <c r="F1115" s="8" t="str">
        <f>"1989-11-16"</f>
        <v>1989-11-16</v>
      </c>
      <c r="G1115" s="9"/>
    </row>
    <row r="1116" spans="1:7" ht="13.5">
      <c r="A1116" s="7">
        <v>1114</v>
      </c>
      <c r="B1116" s="8" t="str">
        <f>"234120200901084253593"</f>
        <v>234120200901084253593</v>
      </c>
      <c r="C1116" s="8" t="s">
        <v>9</v>
      </c>
      <c r="D1116" s="8" t="str">
        <f>"薛涛"</f>
        <v>薛涛</v>
      </c>
      <c r="E1116" s="8" t="str">
        <f>"女"</f>
        <v>女</v>
      </c>
      <c r="F1116" s="8" t="str">
        <f>"1995-11-05"</f>
        <v>1995-11-05</v>
      </c>
      <c r="G1116" s="9"/>
    </row>
    <row r="1117" spans="1:7" ht="13.5">
      <c r="A1117" s="7">
        <v>1115</v>
      </c>
      <c r="B1117" s="8" t="str">
        <f>"234120200901084419594"</f>
        <v>234120200901084419594</v>
      </c>
      <c r="C1117" s="8" t="s">
        <v>9</v>
      </c>
      <c r="D1117" s="8" t="str">
        <f>"唐少总"</f>
        <v>唐少总</v>
      </c>
      <c r="E1117" s="8" t="str">
        <f>"男"</f>
        <v>男</v>
      </c>
      <c r="F1117" s="8" t="str">
        <f>"1994-01-19"</f>
        <v>1994-01-19</v>
      </c>
      <c r="G1117" s="9"/>
    </row>
    <row r="1118" spans="1:7" ht="13.5">
      <c r="A1118" s="7">
        <v>1116</v>
      </c>
      <c r="B1118" s="8" t="str">
        <f>"234120200901093743605"</f>
        <v>234120200901093743605</v>
      </c>
      <c r="C1118" s="8" t="s">
        <v>9</v>
      </c>
      <c r="D1118" s="8" t="str">
        <f>"林道才"</f>
        <v>林道才</v>
      </c>
      <c r="E1118" s="8" t="str">
        <f>"男"</f>
        <v>男</v>
      </c>
      <c r="F1118" s="8" t="str">
        <f>"1991-04-08"</f>
        <v>1991-04-08</v>
      </c>
      <c r="G1118" s="9"/>
    </row>
    <row r="1119" spans="1:7" ht="13.5">
      <c r="A1119" s="7">
        <v>1117</v>
      </c>
      <c r="B1119" s="8" t="str">
        <f>"234120200901093916607"</f>
        <v>234120200901093916607</v>
      </c>
      <c r="C1119" s="8" t="s">
        <v>9</v>
      </c>
      <c r="D1119" s="8" t="str">
        <f>" 夏治勇"</f>
        <v> 夏治勇</v>
      </c>
      <c r="E1119" s="8" t="str">
        <f>"男"</f>
        <v>男</v>
      </c>
      <c r="F1119" s="8" t="str">
        <f>"1987-07-18"</f>
        <v>1987-07-18</v>
      </c>
      <c r="G1119" s="9"/>
    </row>
    <row r="1120" spans="1:7" ht="13.5">
      <c r="A1120" s="7">
        <v>1118</v>
      </c>
      <c r="B1120" s="8" t="str">
        <f>"234120200901094140613"</f>
        <v>234120200901094140613</v>
      </c>
      <c r="C1120" s="8" t="s">
        <v>9</v>
      </c>
      <c r="D1120" s="8" t="str">
        <f>"孙水莲"</f>
        <v>孙水莲</v>
      </c>
      <c r="E1120" s="8" t="str">
        <f>"女"</f>
        <v>女</v>
      </c>
      <c r="F1120" s="8" t="str">
        <f>"1996-06-19"</f>
        <v>1996-06-19</v>
      </c>
      <c r="G1120" s="9"/>
    </row>
    <row r="1121" spans="1:7" ht="13.5">
      <c r="A1121" s="7">
        <v>1119</v>
      </c>
      <c r="B1121" s="8" t="str">
        <f>"234120200901094252616"</f>
        <v>234120200901094252616</v>
      </c>
      <c r="C1121" s="8" t="s">
        <v>9</v>
      </c>
      <c r="D1121" s="8" t="str">
        <f>"黄丹丹"</f>
        <v>黄丹丹</v>
      </c>
      <c r="E1121" s="8" t="str">
        <f>"女"</f>
        <v>女</v>
      </c>
      <c r="F1121" s="8" t="str">
        <f>"1995-06-06"</f>
        <v>1995-06-06</v>
      </c>
      <c r="G1121" s="9"/>
    </row>
    <row r="1122" spans="1:7" ht="13.5">
      <c r="A1122" s="7">
        <v>1120</v>
      </c>
      <c r="B1122" s="8" t="str">
        <f>"234120200901094702620"</f>
        <v>234120200901094702620</v>
      </c>
      <c r="C1122" s="8" t="s">
        <v>9</v>
      </c>
      <c r="D1122" s="8" t="str">
        <f>"孙考盈"</f>
        <v>孙考盈</v>
      </c>
      <c r="E1122" s="8" t="str">
        <f>"男"</f>
        <v>男</v>
      </c>
      <c r="F1122" s="8" t="str">
        <f>"1997-01-07"</f>
        <v>1997-01-07</v>
      </c>
      <c r="G1122" s="9"/>
    </row>
    <row r="1123" spans="1:7" ht="13.5">
      <c r="A1123" s="7">
        <v>1121</v>
      </c>
      <c r="B1123" s="8" t="str">
        <f>"234120200901095834622"</f>
        <v>234120200901095834622</v>
      </c>
      <c r="C1123" s="8" t="s">
        <v>9</v>
      </c>
      <c r="D1123" s="8" t="str">
        <f>"黄肖可"</f>
        <v>黄肖可</v>
      </c>
      <c r="E1123" s="8" t="str">
        <f>"男"</f>
        <v>男</v>
      </c>
      <c r="F1123" s="8" t="str">
        <f>"1996-08-04"</f>
        <v>1996-08-04</v>
      </c>
      <c r="G1123" s="9"/>
    </row>
    <row r="1124" spans="1:7" ht="13.5">
      <c r="A1124" s="7">
        <v>1122</v>
      </c>
      <c r="B1124" s="8" t="str">
        <f>"234120200901101116636"</f>
        <v>234120200901101116636</v>
      </c>
      <c r="C1124" s="8" t="s">
        <v>9</v>
      </c>
      <c r="D1124" s="8" t="str">
        <f>"张茜"</f>
        <v>张茜</v>
      </c>
      <c r="E1124" s="8" t="str">
        <f aca="true" t="shared" si="45" ref="E1124:E1130">"女"</f>
        <v>女</v>
      </c>
      <c r="F1124" s="8" t="str">
        <f>"1992-07-16"</f>
        <v>1992-07-16</v>
      </c>
      <c r="G1124" s="9"/>
    </row>
    <row r="1125" spans="1:7" ht="13.5">
      <c r="A1125" s="7">
        <v>1123</v>
      </c>
      <c r="B1125" s="8" t="str">
        <f>"234120200901101812638"</f>
        <v>234120200901101812638</v>
      </c>
      <c r="C1125" s="8" t="s">
        <v>9</v>
      </c>
      <c r="D1125" s="8" t="str">
        <f>"蒙燕倩"</f>
        <v>蒙燕倩</v>
      </c>
      <c r="E1125" s="8" t="str">
        <f t="shared" si="45"/>
        <v>女</v>
      </c>
      <c r="F1125" s="8" t="str">
        <f>"1992-03-02"</f>
        <v>1992-03-02</v>
      </c>
      <c r="G1125" s="9"/>
    </row>
    <row r="1126" spans="1:7" ht="13.5">
      <c r="A1126" s="7">
        <v>1124</v>
      </c>
      <c r="B1126" s="8" t="str">
        <f>"234120200901102426644"</f>
        <v>234120200901102426644</v>
      </c>
      <c r="C1126" s="8" t="s">
        <v>9</v>
      </c>
      <c r="D1126" s="8" t="str">
        <f>"陈教美"</f>
        <v>陈教美</v>
      </c>
      <c r="E1126" s="8" t="str">
        <f t="shared" si="45"/>
        <v>女</v>
      </c>
      <c r="F1126" s="8" t="str">
        <f>"1991-10-12"</f>
        <v>1991-10-12</v>
      </c>
      <c r="G1126" s="9"/>
    </row>
    <row r="1127" spans="1:7" ht="13.5">
      <c r="A1127" s="7">
        <v>1125</v>
      </c>
      <c r="B1127" s="8" t="str">
        <f>"234120200901102517645"</f>
        <v>234120200901102517645</v>
      </c>
      <c r="C1127" s="8" t="s">
        <v>9</v>
      </c>
      <c r="D1127" s="8" t="str">
        <f>"刘丽秋"</f>
        <v>刘丽秋</v>
      </c>
      <c r="E1127" s="8" t="str">
        <f t="shared" si="45"/>
        <v>女</v>
      </c>
      <c r="F1127" s="8" t="str">
        <f>"1989-06-16"</f>
        <v>1989-06-16</v>
      </c>
      <c r="G1127" s="9"/>
    </row>
    <row r="1128" spans="1:7" ht="13.5">
      <c r="A1128" s="7">
        <v>1126</v>
      </c>
      <c r="B1128" s="8" t="str">
        <f>"234120200901103214655"</f>
        <v>234120200901103214655</v>
      </c>
      <c r="C1128" s="8" t="s">
        <v>9</v>
      </c>
      <c r="D1128" s="8" t="str">
        <f>"陆海娟"</f>
        <v>陆海娟</v>
      </c>
      <c r="E1128" s="8" t="str">
        <f t="shared" si="45"/>
        <v>女</v>
      </c>
      <c r="F1128" s="8" t="str">
        <f>"1995-03-19"</f>
        <v>1995-03-19</v>
      </c>
      <c r="G1128" s="9"/>
    </row>
    <row r="1129" spans="1:7" ht="13.5">
      <c r="A1129" s="7">
        <v>1127</v>
      </c>
      <c r="B1129" s="8" t="str">
        <f>"234120200901103429657"</f>
        <v>234120200901103429657</v>
      </c>
      <c r="C1129" s="8" t="s">
        <v>9</v>
      </c>
      <c r="D1129" s="8" t="str">
        <f>"杨春静"</f>
        <v>杨春静</v>
      </c>
      <c r="E1129" s="8" t="str">
        <f t="shared" si="45"/>
        <v>女</v>
      </c>
      <c r="F1129" s="8" t="str">
        <f>"1995-03-08"</f>
        <v>1995-03-08</v>
      </c>
      <c r="G1129" s="9"/>
    </row>
    <row r="1130" spans="1:7" ht="13.5">
      <c r="A1130" s="7">
        <v>1128</v>
      </c>
      <c r="B1130" s="8" t="str">
        <f>"234120200901104046660"</f>
        <v>234120200901104046660</v>
      </c>
      <c r="C1130" s="8" t="s">
        <v>9</v>
      </c>
      <c r="D1130" s="8" t="str">
        <f>"洪艳琪"</f>
        <v>洪艳琪</v>
      </c>
      <c r="E1130" s="8" t="str">
        <f t="shared" si="45"/>
        <v>女</v>
      </c>
      <c r="F1130" s="8" t="str">
        <f>"1993-06-27"</f>
        <v>1993-06-27</v>
      </c>
      <c r="G1130" s="9"/>
    </row>
    <row r="1131" spans="1:7" ht="13.5">
      <c r="A1131" s="7">
        <v>1129</v>
      </c>
      <c r="B1131" s="8" t="str">
        <f>"234120200901105747669"</f>
        <v>234120200901105747669</v>
      </c>
      <c r="C1131" s="8" t="s">
        <v>9</v>
      </c>
      <c r="D1131" s="8" t="str">
        <f>"牛映光"</f>
        <v>牛映光</v>
      </c>
      <c r="E1131" s="8" t="str">
        <f>"男"</f>
        <v>男</v>
      </c>
      <c r="F1131" s="8" t="str">
        <f>"1997-09-06"</f>
        <v>1997-09-06</v>
      </c>
      <c r="G1131" s="9"/>
    </row>
    <row r="1132" spans="1:7" ht="13.5">
      <c r="A1132" s="7">
        <v>1130</v>
      </c>
      <c r="B1132" s="8" t="str">
        <f>"234120200901110129672"</f>
        <v>234120200901110129672</v>
      </c>
      <c r="C1132" s="8" t="s">
        <v>9</v>
      </c>
      <c r="D1132" s="8" t="str">
        <f>"何琼婷"</f>
        <v>何琼婷</v>
      </c>
      <c r="E1132" s="8" t="str">
        <f>"女"</f>
        <v>女</v>
      </c>
      <c r="F1132" s="8" t="str">
        <f>"1992-04-04"</f>
        <v>1992-04-04</v>
      </c>
      <c r="G1132" s="9"/>
    </row>
    <row r="1133" spans="1:7" ht="13.5">
      <c r="A1133" s="7">
        <v>1131</v>
      </c>
      <c r="B1133" s="8" t="str">
        <f>"234120200901110449674"</f>
        <v>234120200901110449674</v>
      </c>
      <c r="C1133" s="8" t="s">
        <v>9</v>
      </c>
      <c r="D1133" s="8" t="str">
        <f>"王明海"</f>
        <v>王明海</v>
      </c>
      <c r="E1133" s="8" t="str">
        <f>"男"</f>
        <v>男</v>
      </c>
      <c r="F1133" s="8" t="str">
        <f>"1989-10-01"</f>
        <v>1989-10-01</v>
      </c>
      <c r="G1133" s="9"/>
    </row>
    <row r="1134" spans="1:7" ht="13.5">
      <c r="A1134" s="7">
        <v>1132</v>
      </c>
      <c r="B1134" s="8" t="str">
        <f>"234120200901111038677"</f>
        <v>234120200901111038677</v>
      </c>
      <c r="C1134" s="8" t="s">
        <v>9</v>
      </c>
      <c r="D1134" s="8" t="str">
        <f>"盛受全"</f>
        <v>盛受全</v>
      </c>
      <c r="E1134" s="8" t="str">
        <f>"男"</f>
        <v>男</v>
      </c>
      <c r="F1134" s="8" t="str">
        <f>"1997-03-17"</f>
        <v>1997-03-17</v>
      </c>
      <c r="G1134" s="9"/>
    </row>
    <row r="1135" spans="1:7" ht="13.5">
      <c r="A1135" s="7">
        <v>1133</v>
      </c>
      <c r="B1135" s="8" t="str">
        <f>"234120200901111359679"</f>
        <v>234120200901111359679</v>
      </c>
      <c r="C1135" s="8" t="s">
        <v>9</v>
      </c>
      <c r="D1135" s="8" t="str">
        <f>"孙余"</f>
        <v>孙余</v>
      </c>
      <c r="E1135" s="8" t="str">
        <f>"女"</f>
        <v>女</v>
      </c>
      <c r="F1135" s="8" t="str">
        <f>"1996-09-28"</f>
        <v>1996-09-28</v>
      </c>
      <c r="G1135" s="9"/>
    </row>
    <row r="1136" spans="1:7" ht="13.5">
      <c r="A1136" s="7">
        <v>1134</v>
      </c>
      <c r="B1136" s="8" t="str">
        <f>"234120200901112533686"</f>
        <v>234120200901112533686</v>
      </c>
      <c r="C1136" s="8" t="s">
        <v>9</v>
      </c>
      <c r="D1136" s="8" t="str">
        <f>"陈海霞"</f>
        <v>陈海霞</v>
      </c>
      <c r="E1136" s="8" t="str">
        <f>"女"</f>
        <v>女</v>
      </c>
      <c r="F1136" s="8" t="str">
        <f>"1991-04-05"</f>
        <v>1991-04-05</v>
      </c>
      <c r="G1136" s="9"/>
    </row>
    <row r="1137" spans="1:7" ht="13.5">
      <c r="A1137" s="7">
        <v>1135</v>
      </c>
      <c r="B1137" s="8" t="str">
        <f>"234120200901112607687"</f>
        <v>234120200901112607687</v>
      </c>
      <c r="C1137" s="8" t="s">
        <v>9</v>
      </c>
      <c r="D1137" s="8" t="str">
        <f>"文坤妍"</f>
        <v>文坤妍</v>
      </c>
      <c r="E1137" s="8" t="str">
        <f>"女"</f>
        <v>女</v>
      </c>
      <c r="F1137" s="8" t="str">
        <f>"1991-05-01"</f>
        <v>1991-05-01</v>
      </c>
      <c r="G1137" s="9"/>
    </row>
    <row r="1138" spans="1:7" ht="13.5">
      <c r="A1138" s="7">
        <v>1136</v>
      </c>
      <c r="B1138" s="8" t="str">
        <f>"234120200901113709694"</f>
        <v>234120200901113709694</v>
      </c>
      <c r="C1138" s="8" t="s">
        <v>9</v>
      </c>
      <c r="D1138" s="8" t="str">
        <f>"周德志"</f>
        <v>周德志</v>
      </c>
      <c r="E1138" s="8" t="str">
        <f>"男"</f>
        <v>男</v>
      </c>
      <c r="F1138" s="8" t="str">
        <f>"1998-12-08"</f>
        <v>1998-12-08</v>
      </c>
      <c r="G1138" s="9"/>
    </row>
    <row r="1139" spans="1:7" ht="13.5">
      <c r="A1139" s="7">
        <v>1137</v>
      </c>
      <c r="B1139" s="8" t="str">
        <f>"234120200901114350697"</f>
        <v>234120200901114350697</v>
      </c>
      <c r="C1139" s="8" t="s">
        <v>9</v>
      </c>
      <c r="D1139" s="8" t="str">
        <f>"潘诗婷"</f>
        <v>潘诗婷</v>
      </c>
      <c r="E1139" s="8" t="str">
        <f>"女"</f>
        <v>女</v>
      </c>
      <c r="F1139" s="8" t="str">
        <f>"1996-08-09"</f>
        <v>1996-08-09</v>
      </c>
      <c r="G1139" s="9"/>
    </row>
    <row r="1140" spans="1:7" ht="13.5">
      <c r="A1140" s="7">
        <v>1138</v>
      </c>
      <c r="B1140" s="8" t="str">
        <f>"234120200901114404698"</f>
        <v>234120200901114404698</v>
      </c>
      <c r="C1140" s="8" t="s">
        <v>9</v>
      </c>
      <c r="D1140" s="8" t="str">
        <f>"高婕"</f>
        <v>高婕</v>
      </c>
      <c r="E1140" s="8" t="str">
        <f>"女"</f>
        <v>女</v>
      </c>
      <c r="F1140" s="8" t="str">
        <f>"1998-12-21"</f>
        <v>1998-12-21</v>
      </c>
      <c r="G1140" s="9"/>
    </row>
    <row r="1141" spans="1:7" ht="13.5">
      <c r="A1141" s="7">
        <v>1139</v>
      </c>
      <c r="B1141" s="8" t="str">
        <f>"234120200901115143700"</f>
        <v>234120200901115143700</v>
      </c>
      <c r="C1141" s="8" t="s">
        <v>9</v>
      </c>
      <c r="D1141" s="8" t="str">
        <f>"吕秋妹"</f>
        <v>吕秋妹</v>
      </c>
      <c r="E1141" s="8" t="str">
        <f>"女"</f>
        <v>女</v>
      </c>
      <c r="F1141" s="8" t="str">
        <f>"1989-03-22"</f>
        <v>1989-03-22</v>
      </c>
      <c r="G1141" s="9"/>
    </row>
    <row r="1142" spans="1:7" ht="13.5">
      <c r="A1142" s="7">
        <v>1140</v>
      </c>
      <c r="B1142" s="8" t="str">
        <f>"234120200901115827701"</f>
        <v>234120200901115827701</v>
      </c>
      <c r="C1142" s="8" t="s">
        <v>9</v>
      </c>
      <c r="D1142" s="8" t="str">
        <f>"全思遥"</f>
        <v>全思遥</v>
      </c>
      <c r="E1142" s="8" t="str">
        <f>"女"</f>
        <v>女</v>
      </c>
      <c r="F1142" s="8" t="str">
        <f>"1996-12-12"</f>
        <v>1996-12-12</v>
      </c>
      <c r="G1142" s="9"/>
    </row>
    <row r="1143" spans="1:7" ht="13.5">
      <c r="A1143" s="7">
        <v>1141</v>
      </c>
      <c r="B1143" s="8" t="str">
        <f>"234120200901122226710"</f>
        <v>234120200901122226710</v>
      </c>
      <c r="C1143" s="8" t="s">
        <v>9</v>
      </c>
      <c r="D1143" s="8" t="str">
        <f>"董采旭"</f>
        <v>董采旭</v>
      </c>
      <c r="E1143" s="8" t="str">
        <f>"女"</f>
        <v>女</v>
      </c>
      <c r="F1143" s="8" t="str">
        <f>"1994-06-07"</f>
        <v>1994-06-07</v>
      </c>
      <c r="G1143" s="9"/>
    </row>
    <row r="1144" spans="1:7" ht="13.5">
      <c r="A1144" s="7">
        <v>1142</v>
      </c>
      <c r="B1144" s="8" t="str">
        <f>"234120200901123340715"</f>
        <v>234120200901123340715</v>
      </c>
      <c r="C1144" s="8" t="s">
        <v>9</v>
      </c>
      <c r="D1144" s="8" t="str">
        <f>"黎经川"</f>
        <v>黎经川</v>
      </c>
      <c r="E1144" s="8" t="str">
        <f>"男"</f>
        <v>男</v>
      </c>
      <c r="F1144" s="8" t="str">
        <f>"1991-11-14"</f>
        <v>1991-11-14</v>
      </c>
      <c r="G1144" s="9"/>
    </row>
    <row r="1145" spans="1:7" ht="13.5">
      <c r="A1145" s="7">
        <v>1143</v>
      </c>
      <c r="B1145" s="8" t="str">
        <f>"234120200901124454721"</f>
        <v>234120200901124454721</v>
      </c>
      <c r="C1145" s="8" t="s">
        <v>9</v>
      </c>
      <c r="D1145" s="8" t="str">
        <f>"陈桦"</f>
        <v>陈桦</v>
      </c>
      <c r="E1145" s="8" t="str">
        <f>"男"</f>
        <v>男</v>
      </c>
      <c r="F1145" s="8" t="str">
        <f>"1989-06-21"</f>
        <v>1989-06-21</v>
      </c>
      <c r="G1145" s="9"/>
    </row>
    <row r="1146" spans="1:7" ht="13.5">
      <c r="A1146" s="7">
        <v>1144</v>
      </c>
      <c r="B1146" s="8" t="str">
        <f>"234120200901124725722"</f>
        <v>234120200901124725722</v>
      </c>
      <c r="C1146" s="8" t="s">
        <v>9</v>
      </c>
      <c r="D1146" s="8" t="str">
        <f>"刘红梦"</f>
        <v>刘红梦</v>
      </c>
      <c r="E1146" s="8" t="str">
        <f aca="true" t="shared" si="46" ref="E1146:E1151">"女"</f>
        <v>女</v>
      </c>
      <c r="F1146" s="8" t="str">
        <f>"1994-10-20"</f>
        <v>1994-10-20</v>
      </c>
      <c r="G1146" s="9"/>
    </row>
    <row r="1147" spans="1:7" ht="13.5">
      <c r="A1147" s="7">
        <v>1145</v>
      </c>
      <c r="B1147" s="8" t="str">
        <f>"234120200901125939726"</f>
        <v>234120200901125939726</v>
      </c>
      <c r="C1147" s="8" t="s">
        <v>9</v>
      </c>
      <c r="D1147" s="8" t="str">
        <f>"戴火梅"</f>
        <v>戴火梅</v>
      </c>
      <c r="E1147" s="8" t="str">
        <f t="shared" si="46"/>
        <v>女</v>
      </c>
      <c r="F1147" s="8" t="str">
        <f>"1991-10-27"</f>
        <v>1991-10-27</v>
      </c>
      <c r="G1147" s="9"/>
    </row>
    <row r="1148" spans="1:7" ht="13.5">
      <c r="A1148" s="7">
        <v>1146</v>
      </c>
      <c r="B1148" s="8" t="str">
        <f>"234120200901130549728"</f>
        <v>234120200901130549728</v>
      </c>
      <c r="C1148" s="8" t="s">
        <v>9</v>
      </c>
      <c r="D1148" s="8" t="str">
        <f>"王盈"</f>
        <v>王盈</v>
      </c>
      <c r="E1148" s="8" t="str">
        <f t="shared" si="46"/>
        <v>女</v>
      </c>
      <c r="F1148" s="8" t="str">
        <f>"1996-11-09"</f>
        <v>1996-11-09</v>
      </c>
      <c r="G1148" s="9"/>
    </row>
    <row r="1149" spans="1:7" ht="13.5">
      <c r="A1149" s="7">
        <v>1147</v>
      </c>
      <c r="B1149" s="8" t="str">
        <f>"234120200901135836741"</f>
        <v>234120200901135836741</v>
      </c>
      <c r="C1149" s="8" t="s">
        <v>9</v>
      </c>
      <c r="D1149" s="8" t="str">
        <f>"李妤"</f>
        <v>李妤</v>
      </c>
      <c r="E1149" s="8" t="str">
        <f t="shared" si="46"/>
        <v>女</v>
      </c>
      <c r="F1149" s="8" t="str">
        <f>"1994-11-07"</f>
        <v>1994-11-07</v>
      </c>
      <c r="G1149" s="9"/>
    </row>
    <row r="1150" spans="1:7" ht="13.5">
      <c r="A1150" s="7">
        <v>1148</v>
      </c>
      <c r="B1150" s="8" t="str">
        <f>"234120200901142451746"</f>
        <v>234120200901142451746</v>
      </c>
      <c r="C1150" s="8" t="s">
        <v>9</v>
      </c>
      <c r="D1150" s="8" t="str">
        <f>"荣殊慧"</f>
        <v>荣殊慧</v>
      </c>
      <c r="E1150" s="8" t="str">
        <f t="shared" si="46"/>
        <v>女</v>
      </c>
      <c r="F1150" s="8" t="str">
        <f>"1990-03-04"</f>
        <v>1990-03-04</v>
      </c>
      <c r="G1150" s="9"/>
    </row>
    <row r="1151" spans="1:7" ht="13.5">
      <c r="A1151" s="7">
        <v>1149</v>
      </c>
      <c r="B1151" s="8" t="str">
        <f>"234120200901143201750"</f>
        <v>234120200901143201750</v>
      </c>
      <c r="C1151" s="8" t="s">
        <v>9</v>
      </c>
      <c r="D1151" s="8" t="str">
        <f>"李雪阳"</f>
        <v>李雪阳</v>
      </c>
      <c r="E1151" s="8" t="str">
        <f t="shared" si="46"/>
        <v>女</v>
      </c>
      <c r="F1151" s="8" t="str">
        <f>"1994-01-11"</f>
        <v>1994-01-11</v>
      </c>
      <c r="G1151" s="9"/>
    </row>
    <row r="1152" spans="1:7" ht="13.5">
      <c r="A1152" s="7">
        <v>1150</v>
      </c>
      <c r="B1152" s="8" t="str">
        <f>"234120200901144507756"</f>
        <v>234120200901144507756</v>
      </c>
      <c r="C1152" s="8" t="s">
        <v>9</v>
      </c>
      <c r="D1152" s="8" t="str">
        <f>"吉才凡"</f>
        <v>吉才凡</v>
      </c>
      <c r="E1152" s="8" t="str">
        <f>"男"</f>
        <v>男</v>
      </c>
      <c r="F1152" s="8" t="str">
        <f>"1998-03-17"</f>
        <v>1998-03-17</v>
      </c>
      <c r="G1152" s="9"/>
    </row>
    <row r="1153" spans="1:7" ht="13.5">
      <c r="A1153" s="7">
        <v>1151</v>
      </c>
      <c r="B1153" s="8" t="str">
        <f>"234120200901145314760"</f>
        <v>234120200901145314760</v>
      </c>
      <c r="C1153" s="8" t="s">
        <v>9</v>
      </c>
      <c r="D1153" s="8" t="str">
        <f>"陈芳"</f>
        <v>陈芳</v>
      </c>
      <c r="E1153" s="8" t="str">
        <f>"女"</f>
        <v>女</v>
      </c>
      <c r="F1153" s="8" t="str">
        <f>"1995-10-26"</f>
        <v>1995-10-26</v>
      </c>
      <c r="G1153" s="9"/>
    </row>
    <row r="1154" spans="1:7" ht="13.5">
      <c r="A1154" s="7">
        <v>1152</v>
      </c>
      <c r="B1154" s="8" t="str">
        <f>"234120200901145454761"</f>
        <v>234120200901145454761</v>
      </c>
      <c r="C1154" s="8" t="s">
        <v>9</v>
      </c>
      <c r="D1154" s="8" t="str">
        <f>"王志元"</f>
        <v>王志元</v>
      </c>
      <c r="E1154" s="8" t="str">
        <f>"男"</f>
        <v>男</v>
      </c>
      <c r="F1154" s="8" t="str">
        <f>"1997-06-18"</f>
        <v>1997-06-18</v>
      </c>
      <c r="G1154" s="9"/>
    </row>
    <row r="1155" spans="1:7" ht="13.5">
      <c r="A1155" s="7">
        <v>1153</v>
      </c>
      <c r="B1155" s="8" t="str">
        <f>"234120200901151602765"</f>
        <v>234120200901151602765</v>
      </c>
      <c r="C1155" s="8" t="s">
        <v>9</v>
      </c>
      <c r="D1155" s="8" t="str">
        <f>"林于雀"</f>
        <v>林于雀</v>
      </c>
      <c r="E1155" s="8" t="str">
        <f>"男"</f>
        <v>男</v>
      </c>
      <c r="F1155" s="8" t="str">
        <f>"1995-07-22"</f>
        <v>1995-07-22</v>
      </c>
      <c r="G1155" s="9"/>
    </row>
    <row r="1156" spans="1:7" ht="13.5">
      <c r="A1156" s="7">
        <v>1154</v>
      </c>
      <c r="B1156" s="8" t="str">
        <f>"234120200901153658774"</f>
        <v>234120200901153658774</v>
      </c>
      <c r="C1156" s="8" t="s">
        <v>9</v>
      </c>
      <c r="D1156" s="8" t="str">
        <f>"罗蓉蓉"</f>
        <v>罗蓉蓉</v>
      </c>
      <c r="E1156" s="8" t="str">
        <f>"女"</f>
        <v>女</v>
      </c>
      <c r="F1156" s="8" t="str">
        <f>"1998-09-06"</f>
        <v>1998-09-06</v>
      </c>
      <c r="G1156" s="9"/>
    </row>
    <row r="1157" spans="1:7" ht="13.5">
      <c r="A1157" s="7">
        <v>1155</v>
      </c>
      <c r="B1157" s="8" t="str">
        <f>"234120200901153942776"</f>
        <v>234120200901153942776</v>
      </c>
      <c r="C1157" s="8" t="s">
        <v>9</v>
      </c>
      <c r="D1157" s="8" t="str">
        <f>"邢维婷"</f>
        <v>邢维婷</v>
      </c>
      <c r="E1157" s="8" t="str">
        <f>"女"</f>
        <v>女</v>
      </c>
      <c r="F1157" s="8" t="str">
        <f>"1996-10-28"</f>
        <v>1996-10-28</v>
      </c>
      <c r="G1157" s="9"/>
    </row>
    <row r="1158" spans="1:7" ht="13.5">
      <c r="A1158" s="7">
        <v>1156</v>
      </c>
      <c r="B1158" s="8" t="str">
        <f>"234120200901154706778"</f>
        <v>234120200901154706778</v>
      </c>
      <c r="C1158" s="8" t="s">
        <v>9</v>
      </c>
      <c r="D1158" s="8" t="str">
        <f>"陈长荟"</f>
        <v>陈长荟</v>
      </c>
      <c r="E1158" s="8" t="str">
        <f>"男"</f>
        <v>男</v>
      </c>
      <c r="F1158" s="8" t="str">
        <f>"1998-08-10"</f>
        <v>1998-08-10</v>
      </c>
      <c r="G1158" s="9"/>
    </row>
    <row r="1159" spans="1:7" ht="13.5">
      <c r="A1159" s="7">
        <v>1157</v>
      </c>
      <c r="B1159" s="8" t="str">
        <f>"234120200901160050783"</f>
        <v>234120200901160050783</v>
      </c>
      <c r="C1159" s="8" t="s">
        <v>9</v>
      </c>
      <c r="D1159" s="8" t="str">
        <f>"郑海月"</f>
        <v>郑海月</v>
      </c>
      <c r="E1159" s="8" t="str">
        <f aca="true" t="shared" si="47" ref="E1159:E1183">"女"</f>
        <v>女</v>
      </c>
      <c r="F1159" s="8" t="str">
        <f>"1992-10-06"</f>
        <v>1992-10-06</v>
      </c>
      <c r="G1159" s="9"/>
    </row>
    <row r="1160" spans="1:7" ht="13.5">
      <c r="A1160" s="7">
        <v>1158</v>
      </c>
      <c r="B1160" s="8" t="str">
        <f>"234120200901160143785"</f>
        <v>234120200901160143785</v>
      </c>
      <c r="C1160" s="8" t="s">
        <v>9</v>
      </c>
      <c r="D1160" s="8" t="str">
        <f>"李志蕊"</f>
        <v>李志蕊</v>
      </c>
      <c r="E1160" s="8" t="str">
        <f t="shared" si="47"/>
        <v>女</v>
      </c>
      <c r="F1160" s="8" t="str">
        <f>"1996-12-28"</f>
        <v>1996-12-28</v>
      </c>
      <c r="G1160" s="9"/>
    </row>
    <row r="1161" spans="1:7" ht="13.5">
      <c r="A1161" s="7">
        <v>1159</v>
      </c>
      <c r="B1161" s="8" t="str">
        <f>"234120200901162442795"</f>
        <v>234120200901162442795</v>
      </c>
      <c r="C1161" s="8" t="s">
        <v>9</v>
      </c>
      <c r="D1161" s="8" t="str">
        <f>"吴迪"</f>
        <v>吴迪</v>
      </c>
      <c r="E1161" s="8" t="str">
        <f t="shared" si="47"/>
        <v>女</v>
      </c>
      <c r="F1161" s="8" t="str">
        <f>"1991-10-13"</f>
        <v>1991-10-13</v>
      </c>
      <c r="G1161" s="9"/>
    </row>
    <row r="1162" spans="1:7" ht="13.5">
      <c r="A1162" s="7">
        <v>1160</v>
      </c>
      <c r="B1162" s="8" t="str">
        <f>"234120200901163931806"</f>
        <v>234120200901163931806</v>
      </c>
      <c r="C1162" s="8" t="s">
        <v>9</v>
      </c>
      <c r="D1162" s="8" t="str">
        <f>"王梨娜"</f>
        <v>王梨娜</v>
      </c>
      <c r="E1162" s="8" t="str">
        <f t="shared" si="47"/>
        <v>女</v>
      </c>
      <c r="F1162" s="8" t="str">
        <f>"1997-01-08"</f>
        <v>1997-01-08</v>
      </c>
      <c r="G1162" s="9"/>
    </row>
    <row r="1163" spans="1:7" ht="13.5">
      <c r="A1163" s="7">
        <v>1161</v>
      </c>
      <c r="B1163" s="8" t="str">
        <f>"234120200901165922811"</f>
        <v>234120200901165922811</v>
      </c>
      <c r="C1163" s="8" t="s">
        <v>9</v>
      </c>
      <c r="D1163" s="8" t="str">
        <f>"胡丹妮"</f>
        <v>胡丹妮</v>
      </c>
      <c r="E1163" s="8" t="str">
        <f t="shared" si="47"/>
        <v>女</v>
      </c>
      <c r="F1163" s="8" t="str">
        <f>"1993-11-27"</f>
        <v>1993-11-27</v>
      </c>
      <c r="G1163" s="9"/>
    </row>
    <row r="1164" spans="1:7" ht="13.5">
      <c r="A1164" s="7">
        <v>1162</v>
      </c>
      <c r="B1164" s="8" t="str">
        <f>"234120200901173733827"</f>
        <v>234120200901173733827</v>
      </c>
      <c r="C1164" s="8" t="s">
        <v>9</v>
      </c>
      <c r="D1164" s="8" t="str">
        <f>"罗才连"</f>
        <v>罗才连</v>
      </c>
      <c r="E1164" s="8" t="str">
        <f t="shared" si="47"/>
        <v>女</v>
      </c>
      <c r="F1164" s="8" t="str">
        <f>"1994-07-15"</f>
        <v>1994-07-15</v>
      </c>
      <c r="G1164" s="9"/>
    </row>
    <row r="1165" spans="1:7" ht="13.5">
      <c r="A1165" s="7">
        <v>1163</v>
      </c>
      <c r="B1165" s="8" t="str">
        <f>"234120200901175052830"</f>
        <v>234120200901175052830</v>
      </c>
      <c r="C1165" s="8" t="s">
        <v>9</v>
      </c>
      <c r="D1165" s="8" t="str">
        <f>"陈林倩"</f>
        <v>陈林倩</v>
      </c>
      <c r="E1165" s="8" t="str">
        <f t="shared" si="47"/>
        <v>女</v>
      </c>
      <c r="F1165" s="8" t="str">
        <f>"1993-11-12"</f>
        <v>1993-11-12</v>
      </c>
      <c r="G1165" s="9"/>
    </row>
    <row r="1166" spans="1:7" ht="13.5">
      <c r="A1166" s="7">
        <v>1164</v>
      </c>
      <c r="B1166" s="8" t="str">
        <f>"234120200901175416832"</f>
        <v>234120200901175416832</v>
      </c>
      <c r="C1166" s="8" t="s">
        <v>9</v>
      </c>
      <c r="D1166" s="8" t="str">
        <f>"符素陶"</f>
        <v>符素陶</v>
      </c>
      <c r="E1166" s="8" t="str">
        <f t="shared" si="47"/>
        <v>女</v>
      </c>
      <c r="F1166" s="8" t="str">
        <f>"1995-01-06"</f>
        <v>1995-01-06</v>
      </c>
      <c r="G1166" s="9"/>
    </row>
    <row r="1167" spans="1:7" ht="13.5">
      <c r="A1167" s="7">
        <v>1165</v>
      </c>
      <c r="B1167" s="8" t="str">
        <f>"234120200901182944836"</f>
        <v>234120200901182944836</v>
      </c>
      <c r="C1167" s="8" t="s">
        <v>9</v>
      </c>
      <c r="D1167" s="8" t="str">
        <f>"蓝雪芸"</f>
        <v>蓝雪芸</v>
      </c>
      <c r="E1167" s="8" t="str">
        <f t="shared" si="47"/>
        <v>女</v>
      </c>
      <c r="F1167" s="8" t="str">
        <f>"1997-02-24"</f>
        <v>1997-02-24</v>
      </c>
      <c r="G1167" s="9"/>
    </row>
    <row r="1168" spans="1:7" ht="13.5">
      <c r="A1168" s="7">
        <v>1166</v>
      </c>
      <c r="B1168" s="8" t="str">
        <f>"234120200901184258839"</f>
        <v>234120200901184258839</v>
      </c>
      <c r="C1168" s="8" t="s">
        <v>9</v>
      </c>
      <c r="D1168" s="8" t="str">
        <f>"戴静"</f>
        <v>戴静</v>
      </c>
      <c r="E1168" s="8" t="str">
        <f t="shared" si="47"/>
        <v>女</v>
      </c>
      <c r="F1168" s="8" t="str">
        <f>"1996-08-01"</f>
        <v>1996-08-01</v>
      </c>
      <c r="G1168" s="9"/>
    </row>
    <row r="1169" spans="1:7" ht="13.5">
      <c r="A1169" s="7">
        <v>1167</v>
      </c>
      <c r="B1169" s="8" t="str">
        <f>"234120200901185937847"</f>
        <v>234120200901185937847</v>
      </c>
      <c r="C1169" s="8" t="s">
        <v>9</v>
      </c>
      <c r="D1169" s="8" t="str">
        <f>"符亚恋"</f>
        <v>符亚恋</v>
      </c>
      <c r="E1169" s="8" t="str">
        <f t="shared" si="47"/>
        <v>女</v>
      </c>
      <c r="F1169" s="8" t="str">
        <f>"1993-02-14"</f>
        <v>1993-02-14</v>
      </c>
      <c r="G1169" s="9"/>
    </row>
    <row r="1170" spans="1:7" ht="13.5">
      <c r="A1170" s="7">
        <v>1168</v>
      </c>
      <c r="B1170" s="8" t="str">
        <f>"234120200901190427849"</f>
        <v>234120200901190427849</v>
      </c>
      <c r="C1170" s="8" t="s">
        <v>9</v>
      </c>
      <c r="D1170" s="8" t="str">
        <f>"陈惠完"</f>
        <v>陈惠完</v>
      </c>
      <c r="E1170" s="8" t="str">
        <f t="shared" si="47"/>
        <v>女</v>
      </c>
      <c r="F1170" s="8" t="str">
        <f>"1992-02-28"</f>
        <v>1992-02-28</v>
      </c>
      <c r="G1170" s="9"/>
    </row>
    <row r="1171" spans="1:7" ht="13.5">
      <c r="A1171" s="7">
        <v>1169</v>
      </c>
      <c r="B1171" s="8" t="str">
        <f>"234120200901191103851"</f>
        <v>234120200901191103851</v>
      </c>
      <c r="C1171" s="8" t="s">
        <v>9</v>
      </c>
      <c r="D1171" s="8" t="str">
        <f>"李施晓"</f>
        <v>李施晓</v>
      </c>
      <c r="E1171" s="8" t="str">
        <f t="shared" si="47"/>
        <v>女</v>
      </c>
      <c r="F1171" s="8" t="str">
        <f>"1998-08-15"</f>
        <v>1998-08-15</v>
      </c>
      <c r="G1171" s="9"/>
    </row>
    <row r="1172" spans="1:7" ht="13.5">
      <c r="A1172" s="7">
        <v>1170</v>
      </c>
      <c r="B1172" s="8" t="str">
        <f>"234120200901191953852"</f>
        <v>234120200901191953852</v>
      </c>
      <c r="C1172" s="8" t="s">
        <v>9</v>
      </c>
      <c r="D1172" s="8" t="str">
        <f>"孟丹丹"</f>
        <v>孟丹丹</v>
      </c>
      <c r="E1172" s="8" t="str">
        <f t="shared" si="47"/>
        <v>女</v>
      </c>
      <c r="F1172" s="8" t="str">
        <f>"1996-08-23"</f>
        <v>1996-08-23</v>
      </c>
      <c r="G1172" s="9"/>
    </row>
    <row r="1173" spans="1:7" ht="13.5">
      <c r="A1173" s="7">
        <v>1171</v>
      </c>
      <c r="B1173" s="8" t="str">
        <f>"234120200901192151853"</f>
        <v>234120200901192151853</v>
      </c>
      <c r="C1173" s="8" t="s">
        <v>9</v>
      </c>
      <c r="D1173" s="8" t="str">
        <f>"李秋琴"</f>
        <v>李秋琴</v>
      </c>
      <c r="E1173" s="8" t="str">
        <f t="shared" si="47"/>
        <v>女</v>
      </c>
      <c r="F1173" s="8" t="str">
        <f>"1997-05-18"</f>
        <v>1997-05-18</v>
      </c>
      <c r="G1173" s="9"/>
    </row>
    <row r="1174" spans="1:7" ht="13.5">
      <c r="A1174" s="7">
        <v>1172</v>
      </c>
      <c r="B1174" s="8" t="str">
        <f>"234120200901193424859"</f>
        <v>234120200901193424859</v>
      </c>
      <c r="C1174" s="8" t="s">
        <v>9</v>
      </c>
      <c r="D1174" s="8" t="str">
        <f>"梁昌叶"</f>
        <v>梁昌叶</v>
      </c>
      <c r="E1174" s="8" t="str">
        <f t="shared" si="47"/>
        <v>女</v>
      </c>
      <c r="F1174" s="8" t="str">
        <f>"1997-11-26"</f>
        <v>1997-11-26</v>
      </c>
      <c r="G1174" s="9"/>
    </row>
    <row r="1175" spans="1:7" ht="13.5">
      <c r="A1175" s="7">
        <v>1173</v>
      </c>
      <c r="B1175" s="8" t="str">
        <f>"234120200901200140864"</f>
        <v>234120200901200140864</v>
      </c>
      <c r="C1175" s="8" t="s">
        <v>9</v>
      </c>
      <c r="D1175" s="8" t="str">
        <f>"李维庭"</f>
        <v>李维庭</v>
      </c>
      <c r="E1175" s="8" t="str">
        <f t="shared" si="47"/>
        <v>女</v>
      </c>
      <c r="F1175" s="8" t="str">
        <f>"1996-03-09"</f>
        <v>1996-03-09</v>
      </c>
      <c r="G1175" s="9"/>
    </row>
    <row r="1176" spans="1:7" ht="13.5">
      <c r="A1176" s="7">
        <v>1174</v>
      </c>
      <c r="B1176" s="8" t="str">
        <f>"234120200901201607868"</f>
        <v>234120200901201607868</v>
      </c>
      <c r="C1176" s="8" t="s">
        <v>9</v>
      </c>
      <c r="D1176" s="8" t="str">
        <f>"桂小送"</f>
        <v>桂小送</v>
      </c>
      <c r="E1176" s="8" t="str">
        <f t="shared" si="47"/>
        <v>女</v>
      </c>
      <c r="F1176" s="8" t="str">
        <f>"1995-04-06"</f>
        <v>1995-04-06</v>
      </c>
      <c r="G1176" s="9"/>
    </row>
    <row r="1177" spans="1:7" ht="13.5">
      <c r="A1177" s="7">
        <v>1175</v>
      </c>
      <c r="B1177" s="8" t="str">
        <f>"234120200901202859872"</f>
        <v>234120200901202859872</v>
      </c>
      <c r="C1177" s="8" t="s">
        <v>9</v>
      </c>
      <c r="D1177" s="8" t="str">
        <f>"陈碧花"</f>
        <v>陈碧花</v>
      </c>
      <c r="E1177" s="8" t="str">
        <f t="shared" si="47"/>
        <v>女</v>
      </c>
      <c r="F1177" s="8" t="str">
        <f>"1996-03-14"</f>
        <v>1996-03-14</v>
      </c>
      <c r="G1177" s="9"/>
    </row>
    <row r="1178" spans="1:7" ht="13.5">
      <c r="A1178" s="7">
        <v>1176</v>
      </c>
      <c r="B1178" s="8" t="str">
        <f>"234120200901202903873"</f>
        <v>234120200901202903873</v>
      </c>
      <c r="C1178" s="8" t="s">
        <v>9</v>
      </c>
      <c r="D1178" s="8" t="str">
        <f>"曾慧"</f>
        <v>曾慧</v>
      </c>
      <c r="E1178" s="8" t="str">
        <f t="shared" si="47"/>
        <v>女</v>
      </c>
      <c r="F1178" s="8" t="str">
        <f>"1995-06-24"</f>
        <v>1995-06-24</v>
      </c>
      <c r="G1178" s="9"/>
    </row>
    <row r="1179" spans="1:7" ht="13.5">
      <c r="A1179" s="7">
        <v>1177</v>
      </c>
      <c r="B1179" s="8" t="str">
        <f>"234120200901203044874"</f>
        <v>234120200901203044874</v>
      </c>
      <c r="C1179" s="8" t="s">
        <v>9</v>
      </c>
      <c r="D1179" s="8" t="str">
        <f>"李科慧"</f>
        <v>李科慧</v>
      </c>
      <c r="E1179" s="8" t="str">
        <f t="shared" si="47"/>
        <v>女</v>
      </c>
      <c r="F1179" s="8" t="str">
        <f>"1986-04-01"</f>
        <v>1986-04-01</v>
      </c>
      <c r="G1179" s="9"/>
    </row>
    <row r="1180" spans="1:7" ht="13.5">
      <c r="A1180" s="7">
        <v>1178</v>
      </c>
      <c r="B1180" s="8" t="str">
        <f>"234120200901205057880"</f>
        <v>234120200901205057880</v>
      </c>
      <c r="C1180" s="8" t="s">
        <v>9</v>
      </c>
      <c r="D1180" s="8" t="str">
        <f>"黄玉玲"</f>
        <v>黄玉玲</v>
      </c>
      <c r="E1180" s="8" t="str">
        <f t="shared" si="47"/>
        <v>女</v>
      </c>
      <c r="F1180" s="8" t="str">
        <f>"1995-01-02"</f>
        <v>1995-01-02</v>
      </c>
      <c r="G1180" s="9"/>
    </row>
    <row r="1181" spans="1:7" ht="13.5">
      <c r="A1181" s="7">
        <v>1179</v>
      </c>
      <c r="B1181" s="8" t="str">
        <f>"234120200901205429883"</f>
        <v>234120200901205429883</v>
      </c>
      <c r="C1181" s="8" t="s">
        <v>9</v>
      </c>
      <c r="D1181" s="8" t="str">
        <f>"杜云"</f>
        <v>杜云</v>
      </c>
      <c r="E1181" s="8" t="str">
        <f t="shared" si="47"/>
        <v>女</v>
      </c>
      <c r="F1181" s="8" t="str">
        <f>"1997-04-09"</f>
        <v>1997-04-09</v>
      </c>
      <c r="G1181" s="9"/>
    </row>
    <row r="1182" spans="1:7" ht="13.5">
      <c r="A1182" s="7">
        <v>1180</v>
      </c>
      <c r="B1182" s="8" t="str">
        <f>"234120200901211325886"</f>
        <v>234120200901211325886</v>
      </c>
      <c r="C1182" s="8" t="s">
        <v>9</v>
      </c>
      <c r="D1182" s="8" t="str">
        <f>"黄秀清"</f>
        <v>黄秀清</v>
      </c>
      <c r="E1182" s="8" t="str">
        <f t="shared" si="47"/>
        <v>女</v>
      </c>
      <c r="F1182" s="8" t="str">
        <f>"1994-03-16"</f>
        <v>1994-03-16</v>
      </c>
      <c r="G1182" s="9"/>
    </row>
    <row r="1183" spans="1:7" ht="13.5">
      <c r="A1183" s="7">
        <v>1181</v>
      </c>
      <c r="B1183" s="8" t="str">
        <f>"234120200901212427890"</f>
        <v>234120200901212427890</v>
      </c>
      <c r="C1183" s="8" t="s">
        <v>9</v>
      </c>
      <c r="D1183" s="8" t="str">
        <f>"陆金玉"</f>
        <v>陆金玉</v>
      </c>
      <c r="E1183" s="8" t="str">
        <f t="shared" si="47"/>
        <v>女</v>
      </c>
      <c r="F1183" s="8" t="str">
        <f>"1996-02-04"</f>
        <v>1996-02-04</v>
      </c>
      <c r="G1183" s="9"/>
    </row>
    <row r="1184" spans="1:7" ht="13.5">
      <c r="A1184" s="7">
        <v>1182</v>
      </c>
      <c r="B1184" s="8" t="str">
        <f>"234120200901213424894"</f>
        <v>234120200901213424894</v>
      </c>
      <c r="C1184" s="8" t="s">
        <v>9</v>
      </c>
      <c r="D1184" s="8" t="str">
        <f>"符祝绵"</f>
        <v>符祝绵</v>
      </c>
      <c r="E1184" s="8" t="str">
        <f>"男"</f>
        <v>男</v>
      </c>
      <c r="F1184" s="8" t="str">
        <f>"2000-10-01"</f>
        <v>2000-10-01</v>
      </c>
      <c r="G1184" s="9"/>
    </row>
    <row r="1185" spans="1:7" ht="13.5">
      <c r="A1185" s="7">
        <v>1183</v>
      </c>
      <c r="B1185" s="8" t="str">
        <f>"234120200901215540903"</f>
        <v>234120200901215540903</v>
      </c>
      <c r="C1185" s="8" t="s">
        <v>9</v>
      </c>
      <c r="D1185" s="8" t="str">
        <f>"陈清静"</f>
        <v>陈清静</v>
      </c>
      <c r="E1185" s="8" t="str">
        <f aca="true" t="shared" si="48" ref="E1185:E1203">"女"</f>
        <v>女</v>
      </c>
      <c r="F1185" s="8" t="str">
        <f>"1995-09-08"</f>
        <v>1995-09-08</v>
      </c>
      <c r="G1185" s="9"/>
    </row>
    <row r="1186" spans="1:7" ht="13.5">
      <c r="A1186" s="7">
        <v>1184</v>
      </c>
      <c r="B1186" s="8" t="str">
        <f>"234120200901222119913"</f>
        <v>234120200901222119913</v>
      </c>
      <c r="C1186" s="8" t="s">
        <v>9</v>
      </c>
      <c r="D1186" s="8" t="str">
        <f>"赵学秋"</f>
        <v>赵学秋</v>
      </c>
      <c r="E1186" s="8" t="str">
        <f t="shared" si="48"/>
        <v>女</v>
      </c>
      <c r="F1186" s="8" t="str">
        <f>"1991-08-06"</f>
        <v>1991-08-06</v>
      </c>
      <c r="G1186" s="9"/>
    </row>
    <row r="1187" spans="1:7" ht="13.5">
      <c r="A1187" s="7">
        <v>1185</v>
      </c>
      <c r="B1187" s="8" t="str">
        <f>"234120200901222745917"</f>
        <v>234120200901222745917</v>
      </c>
      <c r="C1187" s="8" t="s">
        <v>9</v>
      </c>
      <c r="D1187" s="8" t="str">
        <f>"董小爱"</f>
        <v>董小爱</v>
      </c>
      <c r="E1187" s="8" t="str">
        <f t="shared" si="48"/>
        <v>女</v>
      </c>
      <c r="F1187" s="8" t="str">
        <f>"1996-12-10"</f>
        <v>1996-12-10</v>
      </c>
      <c r="G1187" s="9"/>
    </row>
    <row r="1188" spans="1:7" ht="13.5">
      <c r="A1188" s="7">
        <v>1186</v>
      </c>
      <c r="B1188" s="8" t="str">
        <f>"234120200901223529922"</f>
        <v>234120200901223529922</v>
      </c>
      <c r="C1188" s="8" t="s">
        <v>9</v>
      </c>
      <c r="D1188" s="8" t="str">
        <f>"陈二菊"</f>
        <v>陈二菊</v>
      </c>
      <c r="E1188" s="8" t="str">
        <f t="shared" si="48"/>
        <v>女</v>
      </c>
      <c r="F1188" s="8" t="str">
        <f>"1994-09-25"</f>
        <v>1994-09-25</v>
      </c>
      <c r="G1188" s="9"/>
    </row>
    <row r="1189" spans="1:7" ht="13.5">
      <c r="A1189" s="7">
        <v>1187</v>
      </c>
      <c r="B1189" s="8" t="str">
        <f>"234120200901223742923"</f>
        <v>234120200901223742923</v>
      </c>
      <c r="C1189" s="8" t="s">
        <v>9</v>
      </c>
      <c r="D1189" s="8" t="str">
        <f>"李黑姑"</f>
        <v>李黑姑</v>
      </c>
      <c r="E1189" s="8" t="str">
        <f t="shared" si="48"/>
        <v>女</v>
      </c>
      <c r="F1189" s="8" t="str">
        <f>"1996-05-19"</f>
        <v>1996-05-19</v>
      </c>
      <c r="G1189" s="9"/>
    </row>
    <row r="1190" spans="1:7" ht="13.5">
      <c r="A1190" s="7">
        <v>1188</v>
      </c>
      <c r="B1190" s="8" t="str">
        <f>"234120200901224015925"</f>
        <v>234120200901224015925</v>
      </c>
      <c r="C1190" s="8" t="s">
        <v>9</v>
      </c>
      <c r="D1190" s="8" t="str">
        <f>"何以微"</f>
        <v>何以微</v>
      </c>
      <c r="E1190" s="8" t="str">
        <f t="shared" si="48"/>
        <v>女</v>
      </c>
      <c r="F1190" s="8" t="str">
        <f>"1995-10-18"</f>
        <v>1995-10-18</v>
      </c>
      <c r="G1190" s="9"/>
    </row>
    <row r="1191" spans="1:7" ht="13.5">
      <c r="A1191" s="7">
        <v>1189</v>
      </c>
      <c r="B1191" s="8" t="str">
        <f>"234120200901224845927"</f>
        <v>234120200901224845927</v>
      </c>
      <c r="C1191" s="8" t="s">
        <v>9</v>
      </c>
      <c r="D1191" s="8" t="str">
        <f>"董吉芬"</f>
        <v>董吉芬</v>
      </c>
      <c r="E1191" s="8" t="str">
        <f t="shared" si="48"/>
        <v>女</v>
      </c>
      <c r="F1191" s="8" t="str">
        <f>"1989-10-01"</f>
        <v>1989-10-01</v>
      </c>
      <c r="G1191" s="9"/>
    </row>
    <row r="1192" spans="1:7" ht="13.5">
      <c r="A1192" s="7">
        <v>1190</v>
      </c>
      <c r="B1192" s="8" t="str">
        <f>"234120200901233607935"</f>
        <v>234120200901233607935</v>
      </c>
      <c r="C1192" s="8" t="s">
        <v>9</v>
      </c>
      <c r="D1192" s="8" t="str">
        <f>"许宇雪"</f>
        <v>许宇雪</v>
      </c>
      <c r="E1192" s="8" t="str">
        <f t="shared" si="48"/>
        <v>女</v>
      </c>
      <c r="F1192" s="8" t="str">
        <f>"1995-01-30"</f>
        <v>1995-01-30</v>
      </c>
      <c r="G1192" s="9"/>
    </row>
    <row r="1193" spans="1:7" ht="13.5">
      <c r="A1193" s="7">
        <v>1191</v>
      </c>
      <c r="B1193" s="8" t="str">
        <f>"234120200902080020947"</f>
        <v>234120200902080020947</v>
      </c>
      <c r="C1193" s="8" t="s">
        <v>9</v>
      </c>
      <c r="D1193" s="8" t="str">
        <f>"赵微"</f>
        <v>赵微</v>
      </c>
      <c r="E1193" s="8" t="str">
        <f t="shared" si="48"/>
        <v>女</v>
      </c>
      <c r="F1193" s="8" t="str">
        <f>"1989-05-23"</f>
        <v>1989-05-23</v>
      </c>
      <c r="G1193" s="9"/>
    </row>
    <row r="1194" spans="1:7" ht="13.5">
      <c r="A1194" s="7">
        <v>1192</v>
      </c>
      <c r="B1194" s="8" t="str">
        <f>"234120200902082656948"</f>
        <v>234120200902082656948</v>
      </c>
      <c r="C1194" s="8" t="s">
        <v>9</v>
      </c>
      <c r="D1194" s="8" t="str">
        <f>"王紫薇"</f>
        <v>王紫薇</v>
      </c>
      <c r="E1194" s="8" t="str">
        <f t="shared" si="48"/>
        <v>女</v>
      </c>
      <c r="F1194" s="8" t="str">
        <f>"1998-09-25"</f>
        <v>1998-09-25</v>
      </c>
      <c r="G1194" s="9"/>
    </row>
    <row r="1195" spans="1:7" ht="13.5">
      <c r="A1195" s="7">
        <v>1193</v>
      </c>
      <c r="B1195" s="8" t="str">
        <f>"234120200902090842953"</f>
        <v>234120200902090842953</v>
      </c>
      <c r="C1195" s="8" t="s">
        <v>9</v>
      </c>
      <c r="D1195" s="8" t="str">
        <f>"张世波"</f>
        <v>张世波</v>
      </c>
      <c r="E1195" s="8" t="str">
        <f t="shared" si="48"/>
        <v>女</v>
      </c>
      <c r="F1195" s="8" t="str">
        <f>"1992-06-09"</f>
        <v>1992-06-09</v>
      </c>
      <c r="G1195" s="9"/>
    </row>
    <row r="1196" spans="1:7" ht="13.5">
      <c r="A1196" s="7">
        <v>1194</v>
      </c>
      <c r="B1196" s="8" t="str">
        <f>"234120200902092342959"</f>
        <v>234120200902092342959</v>
      </c>
      <c r="C1196" s="8" t="s">
        <v>9</v>
      </c>
      <c r="D1196" s="8" t="str">
        <f>"董朝珠"</f>
        <v>董朝珠</v>
      </c>
      <c r="E1196" s="8" t="str">
        <f t="shared" si="48"/>
        <v>女</v>
      </c>
      <c r="F1196" s="8" t="str">
        <f>"1988-12-28"</f>
        <v>1988-12-28</v>
      </c>
      <c r="G1196" s="9"/>
    </row>
    <row r="1197" spans="1:7" ht="13.5">
      <c r="A1197" s="7">
        <v>1195</v>
      </c>
      <c r="B1197" s="8" t="str">
        <f>"234120200902092713960"</f>
        <v>234120200902092713960</v>
      </c>
      <c r="C1197" s="8" t="s">
        <v>9</v>
      </c>
      <c r="D1197" s="8" t="str">
        <f>"王春秋"</f>
        <v>王春秋</v>
      </c>
      <c r="E1197" s="8" t="str">
        <f t="shared" si="48"/>
        <v>女</v>
      </c>
      <c r="F1197" s="8" t="str">
        <f>"1987-12-20"</f>
        <v>1987-12-20</v>
      </c>
      <c r="G1197" s="9"/>
    </row>
    <row r="1198" spans="1:7" ht="13.5">
      <c r="A1198" s="7">
        <v>1196</v>
      </c>
      <c r="B1198" s="8" t="str">
        <f>"234120200902093712962"</f>
        <v>234120200902093712962</v>
      </c>
      <c r="C1198" s="8" t="s">
        <v>9</v>
      </c>
      <c r="D1198" s="8" t="str">
        <f>"张秋伟"</f>
        <v>张秋伟</v>
      </c>
      <c r="E1198" s="8" t="str">
        <f t="shared" si="48"/>
        <v>女</v>
      </c>
      <c r="F1198" s="8" t="str">
        <f>"1989-03-02"</f>
        <v>1989-03-02</v>
      </c>
      <c r="G1198" s="9"/>
    </row>
    <row r="1199" spans="1:7" ht="13.5">
      <c r="A1199" s="7">
        <v>1197</v>
      </c>
      <c r="B1199" s="8" t="str">
        <f>"234120200902100917974"</f>
        <v>234120200902100917974</v>
      </c>
      <c r="C1199" s="8" t="s">
        <v>9</v>
      </c>
      <c r="D1199" s="8" t="str">
        <f>"王慧珍"</f>
        <v>王慧珍</v>
      </c>
      <c r="E1199" s="8" t="str">
        <f t="shared" si="48"/>
        <v>女</v>
      </c>
      <c r="F1199" s="8" t="str">
        <f>"1998-08-01"</f>
        <v>1998-08-01</v>
      </c>
      <c r="G1199" s="9"/>
    </row>
    <row r="1200" spans="1:7" ht="13.5">
      <c r="A1200" s="7">
        <v>1198</v>
      </c>
      <c r="B1200" s="8" t="str">
        <f>"234120200902100955975"</f>
        <v>234120200902100955975</v>
      </c>
      <c r="C1200" s="8" t="s">
        <v>9</v>
      </c>
      <c r="D1200" s="8" t="str">
        <f>"王影"</f>
        <v>王影</v>
      </c>
      <c r="E1200" s="8" t="str">
        <f t="shared" si="48"/>
        <v>女</v>
      </c>
      <c r="F1200" s="8" t="str">
        <f>"1995-05-20"</f>
        <v>1995-05-20</v>
      </c>
      <c r="G1200" s="9"/>
    </row>
    <row r="1201" spans="1:7" ht="13.5">
      <c r="A1201" s="7">
        <v>1199</v>
      </c>
      <c r="B1201" s="8" t="str">
        <f>"234120200902102526982"</f>
        <v>234120200902102526982</v>
      </c>
      <c r="C1201" s="8" t="s">
        <v>9</v>
      </c>
      <c r="D1201" s="8" t="str">
        <f>"曾小强"</f>
        <v>曾小强</v>
      </c>
      <c r="E1201" s="8" t="str">
        <f t="shared" si="48"/>
        <v>女</v>
      </c>
      <c r="F1201" s="8" t="str">
        <f>"1996-05-08"</f>
        <v>1996-05-08</v>
      </c>
      <c r="G1201" s="9"/>
    </row>
    <row r="1202" spans="1:7" ht="13.5">
      <c r="A1202" s="7">
        <v>1200</v>
      </c>
      <c r="B1202" s="8" t="str">
        <f>"234120200902102949984"</f>
        <v>234120200902102949984</v>
      </c>
      <c r="C1202" s="8" t="s">
        <v>9</v>
      </c>
      <c r="D1202" s="8" t="str">
        <f>"陈燕燕"</f>
        <v>陈燕燕</v>
      </c>
      <c r="E1202" s="8" t="str">
        <f t="shared" si="48"/>
        <v>女</v>
      </c>
      <c r="F1202" s="8" t="str">
        <f>"1990-01-04"</f>
        <v>1990-01-04</v>
      </c>
      <c r="G1202" s="9"/>
    </row>
    <row r="1203" spans="1:7" ht="13.5">
      <c r="A1203" s="7">
        <v>1201</v>
      </c>
      <c r="B1203" s="8" t="str">
        <f>"234120200902104407989"</f>
        <v>234120200902104407989</v>
      </c>
      <c r="C1203" s="8" t="s">
        <v>9</v>
      </c>
      <c r="D1203" s="8" t="str">
        <f>"曾环"</f>
        <v>曾环</v>
      </c>
      <c r="E1203" s="8" t="str">
        <f t="shared" si="48"/>
        <v>女</v>
      </c>
      <c r="F1203" s="8" t="str">
        <f>"1996-03-01"</f>
        <v>1996-03-01</v>
      </c>
      <c r="G1203" s="9"/>
    </row>
    <row r="1204" spans="1:7" ht="13.5">
      <c r="A1204" s="7">
        <v>1202</v>
      </c>
      <c r="B1204" s="8" t="str">
        <f>"234120200902104409990"</f>
        <v>234120200902104409990</v>
      </c>
      <c r="C1204" s="8" t="s">
        <v>9</v>
      </c>
      <c r="D1204" s="8" t="str">
        <f>"吴文谋"</f>
        <v>吴文谋</v>
      </c>
      <c r="E1204" s="8" t="str">
        <f>"男"</f>
        <v>男</v>
      </c>
      <c r="F1204" s="8" t="str">
        <f>"1990-07-07"</f>
        <v>1990-07-07</v>
      </c>
      <c r="G1204" s="9"/>
    </row>
    <row r="1205" spans="1:7" ht="13.5">
      <c r="A1205" s="7">
        <v>1203</v>
      </c>
      <c r="B1205" s="8" t="str">
        <f>"234120200902105601993"</f>
        <v>234120200902105601993</v>
      </c>
      <c r="C1205" s="8" t="s">
        <v>9</v>
      </c>
      <c r="D1205" s="8" t="str">
        <f>"吴鸾燕"</f>
        <v>吴鸾燕</v>
      </c>
      <c r="E1205" s="8" t="str">
        <f>"女"</f>
        <v>女</v>
      </c>
      <c r="F1205" s="8" t="str">
        <f>"1997-09-09"</f>
        <v>1997-09-09</v>
      </c>
      <c r="G1205" s="9"/>
    </row>
    <row r="1206" spans="1:7" ht="13.5">
      <c r="A1206" s="7">
        <v>1204</v>
      </c>
      <c r="B1206" s="8" t="str">
        <f>"234120200902110250996"</f>
        <v>234120200902110250996</v>
      </c>
      <c r="C1206" s="8" t="s">
        <v>9</v>
      </c>
      <c r="D1206" s="8" t="str">
        <f>"王正照"</f>
        <v>王正照</v>
      </c>
      <c r="E1206" s="8" t="str">
        <f>"男"</f>
        <v>男</v>
      </c>
      <c r="F1206" s="8" t="str">
        <f>"1991-07-04"</f>
        <v>1991-07-04</v>
      </c>
      <c r="G1206" s="9"/>
    </row>
    <row r="1207" spans="1:7" ht="13.5">
      <c r="A1207" s="7">
        <v>1205</v>
      </c>
      <c r="B1207" s="8" t="str">
        <f>"234120200902112147999"</f>
        <v>234120200902112147999</v>
      </c>
      <c r="C1207" s="8" t="s">
        <v>9</v>
      </c>
      <c r="D1207" s="8" t="str">
        <f>"唐月琴"</f>
        <v>唐月琴</v>
      </c>
      <c r="E1207" s="8" t="str">
        <f aca="true" t="shared" si="49" ref="E1207:E1244">"女"</f>
        <v>女</v>
      </c>
      <c r="F1207" s="8" t="str">
        <f>"1990-01-07"</f>
        <v>1990-01-07</v>
      </c>
      <c r="G1207" s="9"/>
    </row>
    <row r="1208" spans="1:7" ht="13.5">
      <c r="A1208" s="7">
        <v>1206</v>
      </c>
      <c r="B1208" s="8" t="str">
        <f>"2341202009021129261000"</f>
        <v>2341202009021129261000</v>
      </c>
      <c r="C1208" s="8" t="s">
        <v>9</v>
      </c>
      <c r="D1208" s="8" t="str">
        <f>"陈燕燕"</f>
        <v>陈燕燕</v>
      </c>
      <c r="E1208" s="8" t="str">
        <f t="shared" si="49"/>
        <v>女</v>
      </c>
      <c r="F1208" s="8" t="str">
        <f>"1996-02-12"</f>
        <v>1996-02-12</v>
      </c>
      <c r="G1208" s="9"/>
    </row>
    <row r="1209" spans="1:7" ht="13.5">
      <c r="A1209" s="7">
        <v>1207</v>
      </c>
      <c r="B1209" s="8" t="str">
        <f>"2341202009021141201003"</f>
        <v>2341202009021141201003</v>
      </c>
      <c r="C1209" s="8" t="s">
        <v>9</v>
      </c>
      <c r="D1209" s="8" t="str">
        <f>"冯红娜"</f>
        <v>冯红娜</v>
      </c>
      <c r="E1209" s="8" t="str">
        <f t="shared" si="49"/>
        <v>女</v>
      </c>
      <c r="F1209" s="8" t="str">
        <f>"1994-03-18"</f>
        <v>1994-03-18</v>
      </c>
      <c r="G1209" s="9"/>
    </row>
    <row r="1210" spans="1:7" ht="13.5">
      <c r="A1210" s="7">
        <v>1208</v>
      </c>
      <c r="B1210" s="8" t="str">
        <f>"2341202009021207321008"</f>
        <v>2341202009021207321008</v>
      </c>
      <c r="C1210" s="8" t="s">
        <v>9</v>
      </c>
      <c r="D1210" s="8" t="str">
        <f>"陈春桂"</f>
        <v>陈春桂</v>
      </c>
      <c r="E1210" s="8" t="str">
        <f t="shared" si="49"/>
        <v>女</v>
      </c>
      <c r="F1210" s="8" t="str">
        <f>"1992-11-10"</f>
        <v>1992-11-10</v>
      </c>
      <c r="G1210" s="9"/>
    </row>
    <row r="1211" spans="1:7" ht="13.5">
      <c r="A1211" s="7">
        <v>1209</v>
      </c>
      <c r="B1211" s="8" t="str">
        <f>"2341202009021209521009"</f>
        <v>2341202009021209521009</v>
      </c>
      <c r="C1211" s="8" t="s">
        <v>9</v>
      </c>
      <c r="D1211" s="8" t="str">
        <f>"陈送玲"</f>
        <v>陈送玲</v>
      </c>
      <c r="E1211" s="8" t="str">
        <f t="shared" si="49"/>
        <v>女</v>
      </c>
      <c r="F1211" s="8" t="str">
        <f>"1995-04-18"</f>
        <v>1995-04-18</v>
      </c>
      <c r="G1211" s="9"/>
    </row>
    <row r="1212" spans="1:7" ht="13.5">
      <c r="A1212" s="7">
        <v>1210</v>
      </c>
      <c r="B1212" s="8" t="str">
        <f>"2341202009021210161010"</f>
        <v>2341202009021210161010</v>
      </c>
      <c r="C1212" s="8" t="s">
        <v>9</v>
      </c>
      <c r="D1212" s="8" t="str">
        <f>"莫位珠"</f>
        <v>莫位珠</v>
      </c>
      <c r="E1212" s="8" t="str">
        <f t="shared" si="49"/>
        <v>女</v>
      </c>
      <c r="F1212" s="8" t="str">
        <f>"1985-10-22"</f>
        <v>1985-10-22</v>
      </c>
      <c r="G1212" s="9"/>
    </row>
    <row r="1213" spans="1:7" ht="13.5">
      <c r="A1213" s="7">
        <v>1211</v>
      </c>
      <c r="B1213" s="8" t="str">
        <f>"2341202009021214191011"</f>
        <v>2341202009021214191011</v>
      </c>
      <c r="C1213" s="8" t="s">
        <v>9</v>
      </c>
      <c r="D1213" s="8" t="str">
        <f>"黄吉秋"</f>
        <v>黄吉秋</v>
      </c>
      <c r="E1213" s="8" t="str">
        <f t="shared" si="49"/>
        <v>女</v>
      </c>
      <c r="F1213" s="8" t="str">
        <f>"1993-08-20"</f>
        <v>1993-08-20</v>
      </c>
      <c r="G1213" s="9"/>
    </row>
    <row r="1214" spans="1:7" ht="13.5">
      <c r="A1214" s="7">
        <v>1212</v>
      </c>
      <c r="B1214" s="8" t="str">
        <f>"2341202009021224151013"</f>
        <v>2341202009021224151013</v>
      </c>
      <c r="C1214" s="8" t="s">
        <v>9</v>
      </c>
      <c r="D1214" s="8" t="str">
        <f>"谢春梁"</f>
        <v>谢春梁</v>
      </c>
      <c r="E1214" s="8" t="str">
        <f t="shared" si="49"/>
        <v>女</v>
      </c>
      <c r="F1214" s="8" t="str">
        <f>"1994-03-31"</f>
        <v>1994-03-31</v>
      </c>
      <c r="G1214" s="9"/>
    </row>
    <row r="1215" spans="1:7" ht="13.5">
      <c r="A1215" s="7">
        <v>1213</v>
      </c>
      <c r="B1215" s="8" t="str">
        <f>"2341202009021227251015"</f>
        <v>2341202009021227251015</v>
      </c>
      <c r="C1215" s="8" t="s">
        <v>9</v>
      </c>
      <c r="D1215" s="8" t="str">
        <f>"符凤香"</f>
        <v>符凤香</v>
      </c>
      <c r="E1215" s="8" t="str">
        <f t="shared" si="49"/>
        <v>女</v>
      </c>
      <c r="F1215" s="8" t="str">
        <f>"1987-10-16"</f>
        <v>1987-10-16</v>
      </c>
      <c r="G1215" s="9"/>
    </row>
    <row r="1216" spans="1:7" ht="13.5">
      <c r="A1216" s="7">
        <v>1214</v>
      </c>
      <c r="B1216" s="8" t="str">
        <f>"2341202009021233061016"</f>
        <v>2341202009021233061016</v>
      </c>
      <c r="C1216" s="8" t="s">
        <v>9</v>
      </c>
      <c r="D1216" s="8" t="str">
        <f>"陈水妹"</f>
        <v>陈水妹</v>
      </c>
      <c r="E1216" s="8" t="str">
        <f t="shared" si="49"/>
        <v>女</v>
      </c>
      <c r="F1216" s="8" t="str">
        <f>"1991-11-17"</f>
        <v>1991-11-17</v>
      </c>
      <c r="G1216" s="9"/>
    </row>
    <row r="1217" spans="1:7" ht="13.5">
      <c r="A1217" s="7">
        <v>1215</v>
      </c>
      <c r="B1217" s="8" t="str">
        <f>"2341202009021236451018"</f>
        <v>2341202009021236451018</v>
      </c>
      <c r="C1217" s="8" t="s">
        <v>9</v>
      </c>
      <c r="D1217" s="8" t="str">
        <f>"邱宇"</f>
        <v>邱宇</v>
      </c>
      <c r="E1217" s="8" t="str">
        <f t="shared" si="49"/>
        <v>女</v>
      </c>
      <c r="F1217" s="8" t="str">
        <f>"1997-05-10"</f>
        <v>1997-05-10</v>
      </c>
      <c r="G1217" s="9"/>
    </row>
    <row r="1218" spans="1:7" ht="13.5">
      <c r="A1218" s="7">
        <v>1216</v>
      </c>
      <c r="B1218" s="8" t="str">
        <f>"2341202009021250541019"</f>
        <v>2341202009021250541019</v>
      </c>
      <c r="C1218" s="8" t="s">
        <v>9</v>
      </c>
      <c r="D1218" s="8" t="str">
        <f>"郭丽娜"</f>
        <v>郭丽娜</v>
      </c>
      <c r="E1218" s="8" t="str">
        <f t="shared" si="49"/>
        <v>女</v>
      </c>
      <c r="F1218" s="8" t="str">
        <f>"1996-09-26"</f>
        <v>1996-09-26</v>
      </c>
      <c r="G1218" s="9"/>
    </row>
    <row r="1219" spans="1:7" ht="13.5">
      <c r="A1219" s="7">
        <v>1217</v>
      </c>
      <c r="B1219" s="8" t="str">
        <f>"2341202009021250541020"</f>
        <v>2341202009021250541020</v>
      </c>
      <c r="C1219" s="8" t="s">
        <v>9</v>
      </c>
      <c r="D1219" s="8" t="str">
        <f>"万火玉"</f>
        <v>万火玉</v>
      </c>
      <c r="E1219" s="8" t="str">
        <f t="shared" si="49"/>
        <v>女</v>
      </c>
      <c r="F1219" s="8" t="str">
        <f>"1993-02-05"</f>
        <v>1993-02-05</v>
      </c>
      <c r="G1219" s="9"/>
    </row>
    <row r="1220" spans="1:7" ht="13.5">
      <c r="A1220" s="7">
        <v>1218</v>
      </c>
      <c r="B1220" s="8" t="str">
        <f>"2341202009021300351025"</f>
        <v>2341202009021300351025</v>
      </c>
      <c r="C1220" s="8" t="s">
        <v>9</v>
      </c>
      <c r="D1220" s="8" t="str">
        <f>"曹娟"</f>
        <v>曹娟</v>
      </c>
      <c r="E1220" s="8" t="str">
        <f t="shared" si="49"/>
        <v>女</v>
      </c>
      <c r="F1220" s="8" t="str">
        <f>"1990-04-10"</f>
        <v>1990-04-10</v>
      </c>
      <c r="G1220" s="9"/>
    </row>
    <row r="1221" spans="1:7" ht="13.5">
      <c r="A1221" s="7">
        <v>1219</v>
      </c>
      <c r="B1221" s="8" t="str">
        <f>"2341202009021301241027"</f>
        <v>2341202009021301241027</v>
      </c>
      <c r="C1221" s="8" t="s">
        <v>9</v>
      </c>
      <c r="D1221" s="8" t="str">
        <f>"曾莲梅"</f>
        <v>曾莲梅</v>
      </c>
      <c r="E1221" s="8" t="str">
        <f t="shared" si="49"/>
        <v>女</v>
      </c>
      <c r="F1221" s="8" t="str">
        <f>"1996-04-09"</f>
        <v>1996-04-09</v>
      </c>
      <c r="G1221" s="9"/>
    </row>
    <row r="1222" spans="1:7" ht="13.5">
      <c r="A1222" s="7">
        <v>1220</v>
      </c>
      <c r="B1222" s="8" t="str">
        <f>"2341202009021313331028"</f>
        <v>2341202009021313331028</v>
      </c>
      <c r="C1222" s="8" t="s">
        <v>9</v>
      </c>
      <c r="D1222" s="8" t="str">
        <f>"郭坤女"</f>
        <v>郭坤女</v>
      </c>
      <c r="E1222" s="8" t="str">
        <f t="shared" si="49"/>
        <v>女</v>
      </c>
      <c r="F1222" s="8" t="str">
        <f>"1996-12-07"</f>
        <v>1996-12-07</v>
      </c>
      <c r="G1222" s="9"/>
    </row>
    <row r="1223" spans="1:7" ht="13.5">
      <c r="A1223" s="7">
        <v>1221</v>
      </c>
      <c r="B1223" s="8" t="str">
        <f>"2341202009021319231029"</f>
        <v>2341202009021319231029</v>
      </c>
      <c r="C1223" s="8" t="s">
        <v>9</v>
      </c>
      <c r="D1223" s="8" t="str">
        <f>"刘芬琳"</f>
        <v>刘芬琳</v>
      </c>
      <c r="E1223" s="8" t="str">
        <f t="shared" si="49"/>
        <v>女</v>
      </c>
      <c r="F1223" s="8" t="str">
        <f>"1995-01-23"</f>
        <v>1995-01-23</v>
      </c>
      <c r="G1223" s="9"/>
    </row>
    <row r="1224" spans="1:7" ht="13.5">
      <c r="A1224" s="7">
        <v>1222</v>
      </c>
      <c r="B1224" s="8" t="str">
        <f>"2341202009021334401031"</f>
        <v>2341202009021334401031</v>
      </c>
      <c r="C1224" s="8" t="s">
        <v>9</v>
      </c>
      <c r="D1224" s="8" t="str">
        <f>"王璐"</f>
        <v>王璐</v>
      </c>
      <c r="E1224" s="8" t="str">
        <f t="shared" si="49"/>
        <v>女</v>
      </c>
      <c r="F1224" s="8" t="str">
        <f>"1996-08-30"</f>
        <v>1996-08-30</v>
      </c>
      <c r="G1224" s="9"/>
    </row>
    <row r="1225" spans="1:7" ht="13.5">
      <c r="A1225" s="7">
        <v>1223</v>
      </c>
      <c r="B1225" s="8" t="str">
        <f>"2341202009021342551033"</f>
        <v>2341202009021342551033</v>
      </c>
      <c r="C1225" s="8" t="s">
        <v>9</v>
      </c>
      <c r="D1225" s="8" t="str">
        <f>"林琦虹"</f>
        <v>林琦虹</v>
      </c>
      <c r="E1225" s="8" t="str">
        <f t="shared" si="49"/>
        <v>女</v>
      </c>
      <c r="F1225" s="8" t="str">
        <f>"1993-11-17"</f>
        <v>1993-11-17</v>
      </c>
      <c r="G1225" s="9"/>
    </row>
    <row r="1226" spans="1:7" ht="13.5">
      <c r="A1226" s="7">
        <v>1224</v>
      </c>
      <c r="B1226" s="8" t="str">
        <f>"2341202009021401091035"</f>
        <v>2341202009021401091035</v>
      </c>
      <c r="C1226" s="8" t="s">
        <v>9</v>
      </c>
      <c r="D1226" s="8" t="str">
        <f>"陈娜"</f>
        <v>陈娜</v>
      </c>
      <c r="E1226" s="8" t="str">
        <f t="shared" si="49"/>
        <v>女</v>
      </c>
      <c r="F1226" s="8" t="str">
        <f>"1993-10-23"</f>
        <v>1993-10-23</v>
      </c>
      <c r="G1226" s="9"/>
    </row>
    <row r="1227" spans="1:7" ht="13.5">
      <c r="A1227" s="7">
        <v>1225</v>
      </c>
      <c r="B1227" s="8" t="str">
        <f>"2341202009021410141036"</f>
        <v>2341202009021410141036</v>
      </c>
      <c r="C1227" s="8" t="s">
        <v>9</v>
      </c>
      <c r="D1227" s="8" t="str">
        <f>"王诗梦"</f>
        <v>王诗梦</v>
      </c>
      <c r="E1227" s="8" t="str">
        <f t="shared" si="49"/>
        <v>女</v>
      </c>
      <c r="F1227" s="8" t="str">
        <f>"1991-09-30"</f>
        <v>1991-09-30</v>
      </c>
      <c r="G1227" s="9"/>
    </row>
    <row r="1228" spans="1:7" ht="13.5">
      <c r="A1228" s="7">
        <v>1226</v>
      </c>
      <c r="B1228" s="8" t="str">
        <f>"2341202009021513231046"</f>
        <v>2341202009021513231046</v>
      </c>
      <c r="C1228" s="8" t="s">
        <v>9</v>
      </c>
      <c r="D1228" s="8" t="str">
        <f>"梁杨英"</f>
        <v>梁杨英</v>
      </c>
      <c r="E1228" s="8" t="str">
        <f t="shared" si="49"/>
        <v>女</v>
      </c>
      <c r="F1228" s="8" t="str">
        <f>"1992-10-10"</f>
        <v>1992-10-10</v>
      </c>
      <c r="G1228" s="9"/>
    </row>
    <row r="1229" spans="1:7" ht="13.5">
      <c r="A1229" s="7">
        <v>1227</v>
      </c>
      <c r="B1229" s="8" t="str">
        <f>"2341202009021531071051"</f>
        <v>2341202009021531071051</v>
      </c>
      <c r="C1229" s="8" t="s">
        <v>9</v>
      </c>
      <c r="D1229" s="8" t="str">
        <f>"邢金媚"</f>
        <v>邢金媚</v>
      </c>
      <c r="E1229" s="8" t="str">
        <f t="shared" si="49"/>
        <v>女</v>
      </c>
      <c r="F1229" s="8" t="str">
        <f>"1996-07-24"</f>
        <v>1996-07-24</v>
      </c>
      <c r="G1229" s="9"/>
    </row>
    <row r="1230" spans="1:7" ht="13.5">
      <c r="A1230" s="7">
        <v>1228</v>
      </c>
      <c r="B1230" s="8" t="str">
        <f>"2341202009021534131055"</f>
        <v>2341202009021534131055</v>
      </c>
      <c r="C1230" s="8" t="s">
        <v>9</v>
      </c>
      <c r="D1230" s="8" t="str">
        <f>"杨宁"</f>
        <v>杨宁</v>
      </c>
      <c r="E1230" s="8" t="str">
        <f t="shared" si="49"/>
        <v>女</v>
      </c>
      <c r="F1230" s="8" t="str">
        <f>"1992-06-13"</f>
        <v>1992-06-13</v>
      </c>
      <c r="G1230" s="9"/>
    </row>
    <row r="1231" spans="1:7" ht="13.5">
      <c r="A1231" s="7">
        <v>1229</v>
      </c>
      <c r="B1231" s="8" t="str">
        <f>"2341202009021541211061"</f>
        <v>2341202009021541211061</v>
      </c>
      <c r="C1231" s="8" t="s">
        <v>9</v>
      </c>
      <c r="D1231" s="8" t="str">
        <f>"何梅霞"</f>
        <v>何梅霞</v>
      </c>
      <c r="E1231" s="8" t="str">
        <f t="shared" si="49"/>
        <v>女</v>
      </c>
      <c r="F1231" s="8" t="str">
        <f>"1993-08-18"</f>
        <v>1993-08-18</v>
      </c>
      <c r="G1231" s="9"/>
    </row>
    <row r="1232" spans="1:7" ht="13.5">
      <c r="A1232" s="7">
        <v>1230</v>
      </c>
      <c r="B1232" s="8" t="str">
        <f>"2341202009021643591075"</f>
        <v>2341202009021643591075</v>
      </c>
      <c r="C1232" s="8" t="s">
        <v>9</v>
      </c>
      <c r="D1232" s="8" t="str">
        <f>"文恣燕"</f>
        <v>文恣燕</v>
      </c>
      <c r="E1232" s="8" t="str">
        <f t="shared" si="49"/>
        <v>女</v>
      </c>
      <c r="F1232" s="8" t="str">
        <f>"1997-10-07"</f>
        <v>1997-10-07</v>
      </c>
      <c r="G1232" s="9"/>
    </row>
    <row r="1233" spans="1:7" ht="13.5">
      <c r="A1233" s="7">
        <v>1231</v>
      </c>
      <c r="B1233" s="8" t="str">
        <f>"2341202009021700311079"</f>
        <v>2341202009021700311079</v>
      </c>
      <c r="C1233" s="8" t="s">
        <v>9</v>
      </c>
      <c r="D1233" s="8" t="str">
        <f>"黄冬竹"</f>
        <v>黄冬竹</v>
      </c>
      <c r="E1233" s="8" t="str">
        <f t="shared" si="49"/>
        <v>女</v>
      </c>
      <c r="F1233" s="8" t="str">
        <f>"1995-09-16"</f>
        <v>1995-09-16</v>
      </c>
      <c r="G1233" s="9"/>
    </row>
    <row r="1234" spans="1:7" ht="13.5">
      <c r="A1234" s="7">
        <v>1232</v>
      </c>
      <c r="B1234" s="8" t="str">
        <f>"2341202009021730081093"</f>
        <v>2341202009021730081093</v>
      </c>
      <c r="C1234" s="8" t="s">
        <v>9</v>
      </c>
      <c r="D1234" s="8" t="str">
        <f>"羊高联"</f>
        <v>羊高联</v>
      </c>
      <c r="E1234" s="8" t="str">
        <f t="shared" si="49"/>
        <v>女</v>
      </c>
      <c r="F1234" s="8" t="str">
        <f>"1996-05-16"</f>
        <v>1996-05-16</v>
      </c>
      <c r="G1234" s="9"/>
    </row>
    <row r="1235" spans="1:7" ht="13.5">
      <c r="A1235" s="7">
        <v>1233</v>
      </c>
      <c r="B1235" s="8" t="str">
        <f>"2341202009021746431096"</f>
        <v>2341202009021746431096</v>
      </c>
      <c r="C1235" s="8" t="s">
        <v>9</v>
      </c>
      <c r="D1235" s="8" t="str">
        <f>"王美成"</f>
        <v>王美成</v>
      </c>
      <c r="E1235" s="8" t="str">
        <f t="shared" si="49"/>
        <v>女</v>
      </c>
      <c r="F1235" s="8" t="str">
        <f>"1995-07-07"</f>
        <v>1995-07-07</v>
      </c>
      <c r="G1235" s="9"/>
    </row>
    <row r="1236" spans="1:7" ht="13.5">
      <c r="A1236" s="7">
        <v>1234</v>
      </c>
      <c r="B1236" s="8" t="str">
        <f>"2341202009021805391100"</f>
        <v>2341202009021805391100</v>
      </c>
      <c r="C1236" s="8" t="s">
        <v>9</v>
      </c>
      <c r="D1236" s="8" t="str">
        <f>"周美娇"</f>
        <v>周美娇</v>
      </c>
      <c r="E1236" s="8" t="str">
        <f t="shared" si="49"/>
        <v>女</v>
      </c>
      <c r="F1236" s="8" t="str">
        <f>"1990-08-09"</f>
        <v>1990-08-09</v>
      </c>
      <c r="G1236" s="9"/>
    </row>
    <row r="1237" spans="1:7" ht="13.5">
      <c r="A1237" s="7">
        <v>1235</v>
      </c>
      <c r="B1237" s="8" t="str">
        <f>"2341202009021816031104"</f>
        <v>2341202009021816031104</v>
      </c>
      <c r="C1237" s="8" t="s">
        <v>9</v>
      </c>
      <c r="D1237" s="8" t="str">
        <f>"羊菊香"</f>
        <v>羊菊香</v>
      </c>
      <c r="E1237" s="8" t="str">
        <f t="shared" si="49"/>
        <v>女</v>
      </c>
      <c r="F1237" s="8" t="str">
        <f>"1994-05-07"</f>
        <v>1994-05-07</v>
      </c>
      <c r="G1237" s="9"/>
    </row>
    <row r="1238" spans="1:7" ht="13.5">
      <c r="A1238" s="7">
        <v>1236</v>
      </c>
      <c r="B1238" s="8" t="str">
        <f>"2341202009021844461109"</f>
        <v>2341202009021844461109</v>
      </c>
      <c r="C1238" s="8" t="s">
        <v>9</v>
      </c>
      <c r="D1238" s="8" t="str">
        <f>"余守暖"</f>
        <v>余守暖</v>
      </c>
      <c r="E1238" s="8" t="str">
        <f t="shared" si="49"/>
        <v>女</v>
      </c>
      <c r="F1238" s="8" t="str">
        <f>"1991-01-01"</f>
        <v>1991-01-01</v>
      </c>
      <c r="G1238" s="9"/>
    </row>
    <row r="1239" spans="1:7" ht="13.5">
      <c r="A1239" s="7">
        <v>1237</v>
      </c>
      <c r="B1239" s="8" t="str">
        <f>"2341202009021846061111"</f>
        <v>2341202009021846061111</v>
      </c>
      <c r="C1239" s="8" t="s">
        <v>9</v>
      </c>
      <c r="D1239" s="8" t="str">
        <f>"黄道妮"</f>
        <v>黄道妮</v>
      </c>
      <c r="E1239" s="8" t="str">
        <f t="shared" si="49"/>
        <v>女</v>
      </c>
      <c r="F1239" s="8" t="str">
        <f>"1990-04-18"</f>
        <v>1990-04-18</v>
      </c>
      <c r="G1239" s="9"/>
    </row>
    <row r="1240" spans="1:7" ht="13.5">
      <c r="A1240" s="7">
        <v>1238</v>
      </c>
      <c r="B1240" s="8" t="str">
        <f>"2341202009021915041115"</f>
        <v>2341202009021915041115</v>
      </c>
      <c r="C1240" s="8" t="s">
        <v>9</v>
      </c>
      <c r="D1240" s="8" t="str">
        <f>"羊琼慧"</f>
        <v>羊琼慧</v>
      </c>
      <c r="E1240" s="8" t="str">
        <f t="shared" si="49"/>
        <v>女</v>
      </c>
      <c r="F1240" s="8" t="str">
        <f>"1996-04-15"</f>
        <v>1996-04-15</v>
      </c>
      <c r="G1240" s="9"/>
    </row>
    <row r="1241" spans="1:7" ht="13.5">
      <c r="A1241" s="7">
        <v>1239</v>
      </c>
      <c r="B1241" s="8" t="str">
        <f>"2341202009021924481118"</f>
        <v>2341202009021924481118</v>
      </c>
      <c r="C1241" s="8" t="s">
        <v>9</v>
      </c>
      <c r="D1241" s="8" t="str">
        <f>"任琳琳"</f>
        <v>任琳琳</v>
      </c>
      <c r="E1241" s="8" t="str">
        <f t="shared" si="49"/>
        <v>女</v>
      </c>
      <c r="F1241" s="8" t="str">
        <f>"1997-08-19"</f>
        <v>1997-08-19</v>
      </c>
      <c r="G1241" s="9"/>
    </row>
    <row r="1242" spans="1:7" ht="13.5">
      <c r="A1242" s="7">
        <v>1240</v>
      </c>
      <c r="B1242" s="8" t="str">
        <f>"2341202009021955491120"</f>
        <v>2341202009021955491120</v>
      </c>
      <c r="C1242" s="8" t="s">
        <v>9</v>
      </c>
      <c r="D1242" s="8" t="str">
        <f>"许智闻"</f>
        <v>许智闻</v>
      </c>
      <c r="E1242" s="8" t="str">
        <f t="shared" si="49"/>
        <v>女</v>
      </c>
      <c r="F1242" s="8" t="str">
        <f>"1994-03-28"</f>
        <v>1994-03-28</v>
      </c>
      <c r="G1242" s="9"/>
    </row>
    <row r="1243" spans="1:7" ht="13.5">
      <c r="A1243" s="7">
        <v>1241</v>
      </c>
      <c r="B1243" s="8" t="str">
        <f>"2341202009022003461123"</f>
        <v>2341202009022003461123</v>
      </c>
      <c r="C1243" s="8" t="s">
        <v>9</v>
      </c>
      <c r="D1243" s="8" t="str">
        <f>"胡肖颜"</f>
        <v>胡肖颜</v>
      </c>
      <c r="E1243" s="8" t="str">
        <f t="shared" si="49"/>
        <v>女</v>
      </c>
      <c r="F1243" s="8" t="str">
        <f>"1990-05-12"</f>
        <v>1990-05-12</v>
      </c>
      <c r="G1243" s="9"/>
    </row>
    <row r="1244" spans="1:7" ht="13.5">
      <c r="A1244" s="7">
        <v>1242</v>
      </c>
      <c r="B1244" s="8" t="str">
        <f>"2341202009022024261129"</f>
        <v>2341202009022024261129</v>
      </c>
      <c r="C1244" s="8" t="s">
        <v>9</v>
      </c>
      <c r="D1244" s="8" t="str">
        <f>"陈柳霞"</f>
        <v>陈柳霞</v>
      </c>
      <c r="E1244" s="8" t="str">
        <f t="shared" si="49"/>
        <v>女</v>
      </c>
      <c r="F1244" s="8" t="str">
        <f>"1993-05-12"</f>
        <v>1993-05-12</v>
      </c>
      <c r="G1244" s="9"/>
    </row>
    <row r="1245" spans="1:7" ht="13.5">
      <c r="A1245" s="7">
        <v>1243</v>
      </c>
      <c r="B1245" s="8" t="str">
        <f>"2341202009022028351130"</f>
        <v>2341202009022028351130</v>
      </c>
      <c r="C1245" s="8" t="s">
        <v>9</v>
      </c>
      <c r="D1245" s="8" t="str">
        <f>"陈棋"</f>
        <v>陈棋</v>
      </c>
      <c r="E1245" s="8" t="str">
        <f>"男"</f>
        <v>男</v>
      </c>
      <c r="F1245" s="8" t="str">
        <f>"1986-01-21"</f>
        <v>1986-01-21</v>
      </c>
      <c r="G1245" s="9"/>
    </row>
    <row r="1246" spans="1:7" ht="13.5">
      <c r="A1246" s="7">
        <v>1244</v>
      </c>
      <c r="B1246" s="8" t="str">
        <f>"2341202009022046451134"</f>
        <v>2341202009022046451134</v>
      </c>
      <c r="C1246" s="8" t="s">
        <v>9</v>
      </c>
      <c r="D1246" s="8" t="str">
        <f>"何家诗"</f>
        <v>何家诗</v>
      </c>
      <c r="E1246" s="8" t="str">
        <f>"男"</f>
        <v>男</v>
      </c>
      <c r="F1246" s="8" t="str">
        <f>"1991-01-24"</f>
        <v>1991-01-24</v>
      </c>
      <c r="G1246" s="9"/>
    </row>
    <row r="1247" spans="1:7" ht="13.5">
      <c r="A1247" s="7">
        <v>1245</v>
      </c>
      <c r="B1247" s="8" t="str">
        <f>"2341202009022117251141"</f>
        <v>2341202009022117251141</v>
      </c>
      <c r="C1247" s="8" t="s">
        <v>9</v>
      </c>
      <c r="D1247" s="8" t="str">
        <f>"王业文"</f>
        <v>王业文</v>
      </c>
      <c r="E1247" s="8" t="str">
        <f>"男"</f>
        <v>男</v>
      </c>
      <c r="F1247" s="8" t="str">
        <f>"1987-08-03"</f>
        <v>1987-08-03</v>
      </c>
      <c r="G1247" s="9"/>
    </row>
    <row r="1248" spans="1:7" ht="13.5">
      <c r="A1248" s="7">
        <v>1246</v>
      </c>
      <c r="B1248" s="8" t="str">
        <f>"2341202009022130191146"</f>
        <v>2341202009022130191146</v>
      </c>
      <c r="C1248" s="8" t="s">
        <v>9</v>
      </c>
      <c r="D1248" s="8" t="str">
        <f>"孟江韵"</f>
        <v>孟江韵</v>
      </c>
      <c r="E1248" s="8" t="str">
        <f>"女"</f>
        <v>女</v>
      </c>
      <c r="F1248" s="8" t="str">
        <f>"1987-10-05"</f>
        <v>1987-10-05</v>
      </c>
      <c r="G1248" s="9"/>
    </row>
    <row r="1249" spans="1:7" ht="13.5">
      <c r="A1249" s="7">
        <v>1247</v>
      </c>
      <c r="B1249" s="8" t="str">
        <f>"2341202009022134001150"</f>
        <v>2341202009022134001150</v>
      </c>
      <c r="C1249" s="8" t="s">
        <v>9</v>
      </c>
      <c r="D1249" s="8" t="str">
        <f>"王梦霞"</f>
        <v>王梦霞</v>
      </c>
      <c r="E1249" s="8" t="str">
        <f>"女"</f>
        <v>女</v>
      </c>
      <c r="F1249" s="8" t="str">
        <f>"1996-07-24"</f>
        <v>1996-07-24</v>
      </c>
      <c r="G1249" s="9"/>
    </row>
    <row r="1250" spans="1:7" ht="13.5">
      <c r="A1250" s="7">
        <v>1248</v>
      </c>
      <c r="B1250" s="8" t="str">
        <f>"2341202009022138591155"</f>
        <v>2341202009022138591155</v>
      </c>
      <c r="C1250" s="8" t="s">
        <v>9</v>
      </c>
      <c r="D1250" s="8" t="str">
        <f>"高建龙"</f>
        <v>高建龙</v>
      </c>
      <c r="E1250" s="8" t="str">
        <f>"男"</f>
        <v>男</v>
      </c>
      <c r="F1250" s="8" t="str">
        <f>"1997-08-16"</f>
        <v>1997-08-16</v>
      </c>
      <c r="G1250" s="9"/>
    </row>
    <row r="1251" spans="1:7" ht="13.5">
      <c r="A1251" s="7">
        <v>1249</v>
      </c>
      <c r="B1251" s="8" t="str">
        <f>"2341202009022217151161"</f>
        <v>2341202009022217151161</v>
      </c>
      <c r="C1251" s="8" t="s">
        <v>9</v>
      </c>
      <c r="D1251" s="8" t="str">
        <f>"吴俊"</f>
        <v>吴俊</v>
      </c>
      <c r="E1251" s="8" t="str">
        <f>"男"</f>
        <v>男</v>
      </c>
      <c r="F1251" s="8" t="str">
        <f>"1990-11-28"</f>
        <v>1990-11-28</v>
      </c>
      <c r="G1251" s="9"/>
    </row>
    <row r="1252" spans="1:7" ht="13.5">
      <c r="A1252" s="7">
        <v>1250</v>
      </c>
      <c r="B1252" s="8" t="str">
        <f>"2341202009022219201162"</f>
        <v>2341202009022219201162</v>
      </c>
      <c r="C1252" s="8" t="s">
        <v>9</v>
      </c>
      <c r="D1252" s="8" t="str">
        <f>"符树磊"</f>
        <v>符树磊</v>
      </c>
      <c r="E1252" s="8" t="str">
        <f aca="true" t="shared" si="50" ref="E1252:E1266">"女"</f>
        <v>女</v>
      </c>
      <c r="F1252" s="8" t="str">
        <f>"1998-12-11"</f>
        <v>1998-12-11</v>
      </c>
      <c r="G1252" s="9"/>
    </row>
    <row r="1253" spans="1:7" ht="13.5">
      <c r="A1253" s="7">
        <v>1251</v>
      </c>
      <c r="B1253" s="8" t="str">
        <f>"2341202009022249311172"</f>
        <v>2341202009022249311172</v>
      </c>
      <c r="C1253" s="8" t="s">
        <v>9</v>
      </c>
      <c r="D1253" s="8" t="str">
        <f>"董江娥"</f>
        <v>董江娥</v>
      </c>
      <c r="E1253" s="8" t="str">
        <f t="shared" si="50"/>
        <v>女</v>
      </c>
      <c r="F1253" s="8" t="str">
        <f>"1992-10-12"</f>
        <v>1992-10-12</v>
      </c>
      <c r="G1253" s="9"/>
    </row>
    <row r="1254" spans="1:7" ht="13.5">
      <c r="A1254" s="7">
        <v>1252</v>
      </c>
      <c r="B1254" s="8" t="str">
        <f>"2341202009022324211176"</f>
        <v>2341202009022324211176</v>
      </c>
      <c r="C1254" s="8" t="s">
        <v>9</v>
      </c>
      <c r="D1254" s="8" t="str">
        <f>"陈金宝"</f>
        <v>陈金宝</v>
      </c>
      <c r="E1254" s="8" t="str">
        <f t="shared" si="50"/>
        <v>女</v>
      </c>
      <c r="F1254" s="8" t="str">
        <f>"1996-03-07"</f>
        <v>1996-03-07</v>
      </c>
      <c r="G1254" s="9"/>
    </row>
    <row r="1255" spans="1:7" ht="13.5">
      <c r="A1255" s="7">
        <v>1253</v>
      </c>
      <c r="B1255" s="8" t="str">
        <f>"2341202009022341541181"</f>
        <v>2341202009022341541181</v>
      </c>
      <c r="C1255" s="8" t="s">
        <v>9</v>
      </c>
      <c r="D1255" s="8" t="str">
        <f>"周影"</f>
        <v>周影</v>
      </c>
      <c r="E1255" s="8" t="str">
        <f t="shared" si="50"/>
        <v>女</v>
      </c>
      <c r="F1255" s="8" t="str">
        <f>"1996-08-04"</f>
        <v>1996-08-04</v>
      </c>
      <c r="G1255" s="9"/>
    </row>
    <row r="1256" spans="1:7" ht="13.5">
      <c r="A1256" s="7">
        <v>1254</v>
      </c>
      <c r="B1256" s="8" t="str">
        <f>"2341202009030839501194"</f>
        <v>2341202009030839501194</v>
      </c>
      <c r="C1256" s="8" t="s">
        <v>9</v>
      </c>
      <c r="D1256" s="8" t="str">
        <f>"钟海莉"</f>
        <v>钟海莉</v>
      </c>
      <c r="E1256" s="8" t="str">
        <f t="shared" si="50"/>
        <v>女</v>
      </c>
      <c r="F1256" s="8" t="str">
        <f>"1997-02-02"</f>
        <v>1997-02-02</v>
      </c>
      <c r="G1256" s="9"/>
    </row>
    <row r="1257" spans="1:7" ht="13.5">
      <c r="A1257" s="7">
        <v>1255</v>
      </c>
      <c r="B1257" s="8" t="str">
        <f>"2341202009030851041196"</f>
        <v>2341202009030851041196</v>
      </c>
      <c r="C1257" s="8" t="s">
        <v>9</v>
      </c>
      <c r="D1257" s="8" t="str">
        <f>"邓海雪"</f>
        <v>邓海雪</v>
      </c>
      <c r="E1257" s="8" t="str">
        <f t="shared" si="50"/>
        <v>女</v>
      </c>
      <c r="F1257" s="8" t="str">
        <f>"1994-09-02"</f>
        <v>1994-09-02</v>
      </c>
      <c r="G1257" s="9"/>
    </row>
    <row r="1258" spans="1:7" ht="13.5">
      <c r="A1258" s="7">
        <v>1256</v>
      </c>
      <c r="B1258" s="8" t="str">
        <f>"2341202009030906561198"</f>
        <v>2341202009030906561198</v>
      </c>
      <c r="C1258" s="8" t="s">
        <v>9</v>
      </c>
      <c r="D1258" s="8" t="str">
        <f>"王金风"</f>
        <v>王金风</v>
      </c>
      <c r="E1258" s="8" t="str">
        <f t="shared" si="50"/>
        <v>女</v>
      </c>
      <c r="F1258" s="8" t="str">
        <f>"1996-02-02"</f>
        <v>1996-02-02</v>
      </c>
      <c r="G1258" s="9"/>
    </row>
    <row r="1259" spans="1:7" ht="13.5">
      <c r="A1259" s="7">
        <v>1257</v>
      </c>
      <c r="B1259" s="8" t="str">
        <f>"2341202009030926011202"</f>
        <v>2341202009030926011202</v>
      </c>
      <c r="C1259" s="8" t="s">
        <v>9</v>
      </c>
      <c r="D1259" s="8" t="str">
        <f>"刘筱"</f>
        <v>刘筱</v>
      </c>
      <c r="E1259" s="8" t="str">
        <f t="shared" si="50"/>
        <v>女</v>
      </c>
      <c r="F1259" s="8" t="str">
        <f>"1996-12-09"</f>
        <v>1996-12-09</v>
      </c>
      <c r="G1259" s="9"/>
    </row>
    <row r="1260" spans="1:7" ht="13.5">
      <c r="A1260" s="7">
        <v>1258</v>
      </c>
      <c r="B1260" s="8" t="str">
        <f>"2341202009030952031208"</f>
        <v>2341202009030952031208</v>
      </c>
      <c r="C1260" s="8" t="s">
        <v>9</v>
      </c>
      <c r="D1260" s="8" t="str">
        <f>"王飞"</f>
        <v>王飞</v>
      </c>
      <c r="E1260" s="8" t="str">
        <f t="shared" si="50"/>
        <v>女</v>
      </c>
      <c r="F1260" s="8" t="str">
        <f>"1993-07-06"</f>
        <v>1993-07-06</v>
      </c>
      <c r="G1260" s="9"/>
    </row>
    <row r="1261" spans="1:7" ht="13.5">
      <c r="A1261" s="7">
        <v>1259</v>
      </c>
      <c r="B1261" s="8" t="str">
        <f>"2341202009030959151211"</f>
        <v>2341202009030959151211</v>
      </c>
      <c r="C1261" s="8" t="s">
        <v>9</v>
      </c>
      <c r="D1261" s="8" t="str">
        <f>"许婷婷"</f>
        <v>许婷婷</v>
      </c>
      <c r="E1261" s="8" t="str">
        <f t="shared" si="50"/>
        <v>女</v>
      </c>
      <c r="F1261" s="8" t="str">
        <f>"1991-12-09"</f>
        <v>1991-12-09</v>
      </c>
      <c r="G1261" s="9"/>
    </row>
    <row r="1262" spans="1:7" ht="13.5">
      <c r="A1262" s="7">
        <v>1260</v>
      </c>
      <c r="B1262" s="8" t="str">
        <f>"2341202009031009351216"</f>
        <v>2341202009031009351216</v>
      </c>
      <c r="C1262" s="8" t="s">
        <v>9</v>
      </c>
      <c r="D1262" s="8" t="str">
        <f>"陈楚茹"</f>
        <v>陈楚茹</v>
      </c>
      <c r="E1262" s="8" t="str">
        <f t="shared" si="50"/>
        <v>女</v>
      </c>
      <c r="F1262" s="8" t="str">
        <f>"1996-01-24"</f>
        <v>1996-01-24</v>
      </c>
      <c r="G1262" s="9"/>
    </row>
    <row r="1263" spans="1:7" ht="13.5">
      <c r="A1263" s="7">
        <v>1261</v>
      </c>
      <c r="B1263" s="8" t="str">
        <f>"2341202009031010481217"</f>
        <v>2341202009031010481217</v>
      </c>
      <c r="C1263" s="8" t="s">
        <v>9</v>
      </c>
      <c r="D1263" s="8" t="str">
        <f>"黄娇丽"</f>
        <v>黄娇丽</v>
      </c>
      <c r="E1263" s="8" t="str">
        <f t="shared" si="50"/>
        <v>女</v>
      </c>
      <c r="F1263" s="8" t="str">
        <f>"1991-02-20"</f>
        <v>1991-02-20</v>
      </c>
      <c r="G1263" s="9"/>
    </row>
    <row r="1264" spans="1:7" ht="13.5">
      <c r="A1264" s="7">
        <v>1262</v>
      </c>
      <c r="B1264" s="8" t="str">
        <f>"2341202009031013101219"</f>
        <v>2341202009031013101219</v>
      </c>
      <c r="C1264" s="8" t="s">
        <v>9</v>
      </c>
      <c r="D1264" s="8" t="str">
        <f>"杨晨璐瑶"</f>
        <v>杨晨璐瑶</v>
      </c>
      <c r="E1264" s="8" t="str">
        <f t="shared" si="50"/>
        <v>女</v>
      </c>
      <c r="F1264" s="8" t="str">
        <f>"1992-07-09"</f>
        <v>1992-07-09</v>
      </c>
      <c r="G1264" s="9"/>
    </row>
    <row r="1265" spans="1:7" ht="13.5">
      <c r="A1265" s="7">
        <v>1263</v>
      </c>
      <c r="B1265" s="8" t="str">
        <f>"2341202009031014161221"</f>
        <v>2341202009031014161221</v>
      </c>
      <c r="C1265" s="8" t="s">
        <v>9</v>
      </c>
      <c r="D1265" s="8" t="str">
        <f>"吴娟"</f>
        <v>吴娟</v>
      </c>
      <c r="E1265" s="8" t="str">
        <f t="shared" si="50"/>
        <v>女</v>
      </c>
      <c r="F1265" s="8" t="str">
        <f>"1994-02-21"</f>
        <v>1994-02-21</v>
      </c>
      <c r="G1265" s="9"/>
    </row>
    <row r="1266" spans="1:7" ht="13.5">
      <c r="A1266" s="7">
        <v>1264</v>
      </c>
      <c r="B1266" s="8" t="str">
        <f>"2341202009031057321233"</f>
        <v>2341202009031057321233</v>
      </c>
      <c r="C1266" s="8" t="s">
        <v>9</v>
      </c>
      <c r="D1266" s="8" t="str">
        <f>"符秀红"</f>
        <v>符秀红</v>
      </c>
      <c r="E1266" s="8" t="str">
        <f t="shared" si="50"/>
        <v>女</v>
      </c>
      <c r="F1266" s="8" t="str">
        <f>"1991-09-10"</f>
        <v>1991-09-10</v>
      </c>
      <c r="G1266" s="9"/>
    </row>
    <row r="1267" spans="1:7" ht="13.5">
      <c r="A1267" s="7">
        <v>1265</v>
      </c>
      <c r="B1267" s="8" t="str">
        <f>"2341202009031103391238"</f>
        <v>2341202009031103391238</v>
      </c>
      <c r="C1267" s="8" t="s">
        <v>9</v>
      </c>
      <c r="D1267" s="8" t="str">
        <f>"王家富"</f>
        <v>王家富</v>
      </c>
      <c r="E1267" s="8" t="str">
        <f>"男"</f>
        <v>男</v>
      </c>
      <c r="F1267" s="8" t="str">
        <f>"1984-09-10"</f>
        <v>1984-09-10</v>
      </c>
      <c r="G1267" s="9"/>
    </row>
    <row r="1268" spans="1:7" ht="13.5">
      <c r="A1268" s="7">
        <v>1266</v>
      </c>
      <c r="B1268" s="8" t="str">
        <f>"2341202009031108581240"</f>
        <v>2341202009031108581240</v>
      </c>
      <c r="C1268" s="8" t="s">
        <v>9</v>
      </c>
      <c r="D1268" s="8" t="str">
        <f>"杨英震"</f>
        <v>杨英震</v>
      </c>
      <c r="E1268" s="8" t="str">
        <f>"男"</f>
        <v>男</v>
      </c>
      <c r="F1268" s="8" t="str">
        <f>"1987.11.15"</f>
        <v>1987.11.15</v>
      </c>
      <c r="G1268" s="9"/>
    </row>
    <row r="1269" spans="1:7" ht="13.5">
      <c r="A1269" s="7">
        <v>1267</v>
      </c>
      <c r="B1269" s="8" t="str">
        <f>"2341202009031111491242"</f>
        <v>2341202009031111491242</v>
      </c>
      <c r="C1269" s="8" t="s">
        <v>9</v>
      </c>
      <c r="D1269" s="8" t="str">
        <f>"方施"</f>
        <v>方施</v>
      </c>
      <c r="E1269" s="8" t="str">
        <f>"女"</f>
        <v>女</v>
      </c>
      <c r="F1269" s="8" t="str">
        <f>"1993-02-10"</f>
        <v>1993-02-10</v>
      </c>
      <c r="G1269" s="9"/>
    </row>
    <row r="1270" spans="1:7" ht="13.5">
      <c r="A1270" s="7">
        <v>1268</v>
      </c>
      <c r="B1270" s="8" t="str">
        <f>"2341202009031122051245"</f>
        <v>2341202009031122051245</v>
      </c>
      <c r="C1270" s="8" t="s">
        <v>9</v>
      </c>
      <c r="D1270" s="8" t="str">
        <f>"韩伟伟"</f>
        <v>韩伟伟</v>
      </c>
      <c r="E1270" s="8" t="str">
        <f>"男"</f>
        <v>男</v>
      </c>
      <c r="F1270" s="8" t="str">
        <f>"1994-08-28"</f>
        <v>1994-08-28</v>
      </c>
      <c r="G1270" s="9"/>
    </row>
    <row r="1271" spans="1:7" ht="13.5">
      <c r="A1271" s="7">
        <v>1269</v>
      </c>
      <c r="B1271" s="8" t="str">
        <f>"2341202009031141331247"</f>
        <v>2341202009031141331247</v>
      </c>
      <c r="C1271" s="8" t="s">
        <v>9</v>
      </c>
      <c r="D1271" s="8" t="str">
        <f>"许环岛"</f>
        <v>许环岛</v>
      </c>
      <c r="E1271" s="8" t="str">
        <f>"男"</f>
        <v>男</v>
      </c>
      <c r="F1271" s="8" t="str">
        <f>"1988-09-24"</f>
        <v>1988-09-24</v>
      </c>
      <c r="G1271" s="9"/>
    </row>
    <row r="1272" spans="1:7" ht="13.5">
      <c r="A1272" s="7">
        <v>1270</v>
      </c>
      <c r="B1272" s="8" t="str">
        <f>"2341202009031150491251"</f>
        <v>2341202009031150491251</v>
      </c>
      <c r="C1272" s="8" t="s">
        <v>9</v>
      </c>
      <c r="D1272" s="8" t="str">
        <f>"游媚"</f>
        <v>游媚</v>
      </c>
      <c r="E1272" s="8" t="str">
        <f aca="true" t="shared" si="51" ref="E1272:E1296">"女"</f>
        <v>女</v>
      </c>
      <c r="F1272" s="8" t="str">
        <f>"1989-09-27"</f>
        <v>1989-09-27</v>
      </c>
      <c r="G1272" s="9"/>
    </row>
    <row r="1273" spans="1:7" ht="13.5">
      <c r="A1273" s="7">
        <v>1271</v>
      </c>
      <c r="B1273" s="8" t="str">
        <f>"2341202009031155001253"</f>
        <v>2341202009031155001253</v>
      </c>
      <c r="C1273" s="8" t="s">
        <v>9</v>
      </c>
      <c r="D1273" s="8" t="str">
        <f>"冼妹端"</f>
        <v>冼妹端</v>
      </c>
      <c r="E1273" s="8" t="str">
        <f t="shared" si="51"/>
        <v>女</v>
      </c>
      <c r="F1273" s="8" t="str">
        <f>"1994-04-10"</f>
        <v>1994-04-10</v>
      </c>
      <c r="G1273" s="9"/>
    </row>
    <row r="1274" spans="1:7" ht="13.5">
      <c r="A1274" s="7">
        <v>1272</v>
      </c>
      <c r="B1274" s="8" t="str">
        <f>"2341202009031233341262"</f>
        <v>2341202009031233341262</v>
      </c>
      <c r="C1274" s="8" t="s">
        <v>9</v>
      </c>
      <c r="D1274" s="8" t="str">
        <f>"陈英华"</f>
        <v>陈英华</v>
      </c>
      <c r="E1274" s="8" t="str">
        <f t="shared" si="51"/>
        <v>女</v>
      </c>
      <c r="F1274" s="8" t="str">
        <f>"1996-06-21"</f>
        <v>1996-06-21</v>
      </c>
      <c r="G1274" s="9"/>
    </row>
    <row r="1275" spans="1:7" ht="13.5">
      <c r="A1275" s="7">
        <v>1273</v>
      </c>
      <c r="B1275" s="8" t="str">
        <f>"2341202009031248461267"</f>
        <v>2341202009031248461267</v>
      </c>
      <c r="C1275" s="8" t="s">
        <v>9</v>
      </c>
      <c r="D1275" s="8" t="str">
        <f>"马俐"</f>
        <v>马俐</v>
      </c>
      <c r="E1275" s="8" t="str">
        <f t="shared" si="51"/>
        <v>女</v>
      </c>
      <c r="F1275" s="8" t="str">
        <f>"1989-07-01"</f>
        <v>1989-07-01</v>
      </c>
      <c r="G1275" s="9"/>
    </row>
    <row r="1276" spans="1:7" ht="13.5">
      <c r="A1276" s="7">
        <v>1274</v>
      </c>
      <c r="B1276" s="8" t="str">
        <f>"2341202009031309111272"</f>
        <v>2341202009031309111272</v>
      </c>
      <c r="C1276" s="8" t="s">
        <v>9</v>
      </c>
      <c r="D1276" s="8" t="str">
        <f>"杨雪鹤"</f>
        <v>杨雪鹤</v>
      </c>
      <c r="E1276" s="8" t="str">
        <f t="shared" si="51"/>
        <v>女</v>
      </c>
      <c r="F1276" s="8" t="str">
        <f>"1991-12-29"</f>
        <v>1991-12-29</v>
      </c>
      <c r="G1276" s="9"/>
    </row>
    <row r="1277" spans="1:7" ht="13.5">
      <c r="A1277" s="7">
        <v>1275</v>
      </c>
      <c r="B1277" s="8" t="str">
        <f>"2341202009031316031273"</f>
        <v>2341202009031316031273</v>
      </c>
      <c r="C1277" s="8" t="s">
        <v>9</v>
      </c>
      <c r="D1277" s="8" t="str">
        <f>"王露娜"</f>
        <v>王露娜</v>
      </c>
      <c r="E1277" s="8" t="str">
        <f t="shared" si="51"/>
        <v>女</v>
      </c>
      <c r="F1277" s="8" t="str">
        <f>"1991-08-15"</f>
        <v>1991-08-15</v>
      </c>
      <c r="G1277" s="9"/>
    </row>
    <row r="1278" spans="1:7" ht="13.5">
      <c r="A1278" s="7">
        <v>1276</v>
      </c>
      <c r="B1278" s="8" t="str">
        <f>"2341202009031341161279"</f>
        <v>2341202009031341161279</v>
      </c>
      <c r="C1278" s="8" t="s">
        <v>9</v>
      </c>
      <c r="D1278" s="8" t="str">
        <f>"陈莹欣"</f>
        <v>陈莹欣</v>
      </c>
      <c r="E1278" s="8" t="str">
        <f t="shared" si="51"/>
        <v>女</v>
      </c>
      <c r="F1278" s="8" t="str">
        <f>"1996-02-02"</f>
        <v>1996-02-02</v>
      </c>
      <c r="G1278" s="9"/>
    </row>
    <row r="1279" spans="1:7" ht="13.5">
      <c r="A1279" s="7">
        <v>1277</v>
      </c>
      <c r="B1279" s="8" t="str">
        <f>"2341202009031348401280"</f>
        <v>2341202009031348401280</v>
      </c>
      <c r="C1279" s="8" t="s">
        <v>9</v>
      </c>
      <c r="D1279" s="8" t="str">
        <f>"罗晶"</f>
        <v>罗晶</v>
      </c>
      <c r="E1279" s="8" t="str">
        <f t="shared" si="51"/>
        <v>女</v>
      </c>
      <c r="F1279" s="8" t="str">
        <f>"1997-11-13"</f>
        <v>1997-11-13</v>
      </c>
      <c r="G1279" s="9"/>
    </row>
    <row r="1280" spans="1:7" ht="13.5">
      <c r="A1280" s="7">
        <v>1278</v>
      </c>
      <c r="B1280" s="8" t="str">
        <f>"2341202009031430111283"</f>
        <v>2341202009031430111283</v>
      </c>
      <c r="C1280" s="8" t="s">
        <v>9</v>
      </c>
      <c r="D1280" s="8" t="str">
        <f>"关义侠"</f>
        <v>关义侠</v>
      </c>
      <c r="E1280" s="8" t="str">
        <f t="shared" si="51"/>
        <v>女</v>
      </c>
      <c r="F1280" s="8" t="str">
        <f>"1987-06-15"</f>
        <v>1987-06-15</v>
      </c>
      <c r="G1280" s="9"/>
    </row>
    <row r="1281" spans="1:7" ht="13.5">
      <c r="A1281" s="7">
        <v>1279</v>
      </c>
      <c r="B1281" s="8" t="str">
        <f>"2341202009031443271290"</f>
        <v>2341202009031443271290</v>
      </c>
      <c r="C1281" s="8" t="s">
        <v>9</v>
      </c>
      <c r="D1281" s="8" t="str">
        <f>"黄小叶"</f>
        <v>黄小叶</v>
      </c>
      <c r="E1281" s="8" t="str">
        <f t="shared" si="51"/>
        <v>女</v>
      </c>
      <c r="F1281" s="8" t="str">
        <f>"1996-03-03"</f>
        <v>1996-03-03</v>
      </c>
      <c r="G1281" s="9"/>
    </row>
    <row r="1282" spans="1:7" ht="13.5">
      <c r="A1282" s="7">
        <v>1280</v>
      </c>
      <c r="B1282" s="8" t="str">
        <f>"2341202009031450591294"</f>
        <v>2341202009031450591294</v>
      </c>
      <c r="C1282" s="8" t="s">
        <v>9</v>
      </c>
      <c r="D1282" s="8" t="str">
        <f>"文嘉嘉"</f>
        <v>文嘉嘉</v>
      </c>
      <c r="E1282" s="8" t="str">
        <f t="shared" si="51"/>
        <v>女</v>
      </c>
      <c r="F1282" s="8" t="str">
        <f>"1997-10-21"</f>
        <v>1997-10-21</v>
      </c>
      <c r="G1282" s="9"/>
    </row>
    <row r="1283" spans="1:7" ht="13.5">
      <c r="A1283" s="7">
        <v>1281</v>
      </c>
      <c r="B1283" s="8" t="str">
        <f>"2341202009031453031295"</f>
        <v>2341202009031453031295</v>
      </c>
      <c r="C1283" s="8" t="s">
        <v>9</v>
      </c>
      <c r="D1283" s="8" t="str">
        <f>"卓彩霞"</f>
        <v>卓彩霞</v>
      </c>
      <c r="E1283" s="8" t="str">
        <f t="shared" si="51"/>
        <v>女</v>
      </c>
      <c r="F1283" s="8" t="str">
        <f>"1986-10-11"</f>
        <v>1986-10-11</v>
      </c>
      <c r="G1283" s="9"/>
    </row>
    <row r="1284" spans="1:7" ht="13.5">
      <c r="A1284" s="7">
        <v>1282</v>
      </c>
      <c r="B1284" s="8" t="str">
        <f>"2341202009031528441297"</f>
        <v>2341202009031528441297</v>
      </c>
      <c r="C1284" s="8" t="s">
        <v>9</v>
      </c>
      <c r="D1284" s="8" t="str">
        <f>"许亚雪"</f>
        <v>许亚雪</v>
      </c>
      <c r="E1284" s="8" t="str">
        <f t="shared" si="51"/>
        <v>女</v>
      </c>
      <c r="F1284" s="8" t="str">
        <f>"1997-07-08"</f>
        <v>1997-07-08</v>
      </c>
      <c r="G1284" s="9"/>
    </row>
    <row r="1285" spans="1:7" ht="13.5">
      <c r="A1285" s="7">
        <v>1283</v>
      </c>
      <c r="B1285" s="8" t="str">
        <f>"2341202009031547261300"</f>
        <v>2341202009031547261300</v>
      </c>
      <c r="C1285" s="8" t="s">
        <v>9</v>
      </c>
      <c r="D1285" s="8" t="str">
        <f>"陈海莲"</f>
        <v>陈海莲</v>
      </c>
      <c r="E1285" s="8" t="str">
        <f t="shared" si="51"/>
        <v>女</v>
      </c>
      <c r="F1285" s="8" t="str">
        <f>"1990-07-07"</f>
        <v>1990-07-07</v>
      </c>
      <c r="G1285" s="9"/>
    </row>
    <row r="1286" spans="1:7" ht="13.5">
      <c r="A1286" s="7">
        <v>1284</v>
      </c>
      <c r="B1286" s="8" t="str">
        <f>"2341202009031551071303"</f>
        <v>2341202009031551071303</v>
      </c>
      <c r="C1286" s="8" t="s">
        <v>9</v>
      </c>
      <c r="D1286" s="8" t="str">
        <f>"罗立果"</f>
        <v>罗立果</v>
      </c>
      <c r="E1286" s="8" t="str">
        <f t="shared" si="51"/>
        <v>女</v>
      </c>
      <c r="F1286" s="8" t="str">
        <f>"1988-08-15"</f>
        <v>1988-08-15</v>
      </c>
      <c r="G1286" s="9"/>
    </row>
    <row r="1287" spans="1:7" ht="13.5">
      <c r="A1287" s="7">
        <v>1285</v>
      </c>
      <c r="B1287" s="8" t="str">
        <f>"2341202009031602341305"</f>
        <v>2341202009031602341305</v>
      </c>
      <c r="C1287" s="8" t="s">
        <v>9</v>
      </c>
      <c r="D1287" s="8" t="str">
        <f>"孟竞怡"</f>
        <v>孟竞怡</v>
      </c>
      <c r="E1287" s="8" t="str">
        <f t="shared" si="51"/>
        <v>女</v>
      </c>
      <c r="F1287" s="8" t="str">
        <f>"1993-03-02"</f>
        <v>1993-03-02</v>
      </c>
      <c r="G1287" s="9"/>
    </row>
    <row r="1288" spans="1:7" ht="13.5">
      <c r="A1288" s="7">
        <v>1286</v>
      </c>
      <c r="B1288" s="8" t="str">
        <f>"2341202009031609511307"</f>
        <v>2341202009031609511307</v>
      </c>
      <c r="C1288" s="8" t="s">
        <v>9</v>
      </c>
      <c r="D1288" s="8" t="str">
        <f>"王靖榕"</f>
        <v>王靖榕</v>
      </c>
      <c r="E1288" s="8" t="str">
        <f t="shared" si="51"/>
        <v>女</v>
      </c>
      <c r="F1288" s="8" t="str">
        <f>"1997-07-02"</f>
        <v>1997-07-02</v>
      </c>
      <c r="G1288" s="9"/>
    </row>
    <row r="1289" spans="1:7" ht="13.5">
      <c r="A1289" s="7">
        <v>1287</v>
      </c>
      <c r="B1289" s="8" t="str">
        <f>"2341202009031610381308"</f>
        <v>2341202009031610381308</v>
      </c>
      <c r="C1289" s="8" t="s">
        <v>9</v>
      </c>
      <c r="D1289" s="8" t="str">
        <f>"肖丁雪"</f>
        <v>肖丁雪</v>
      </c>
      <c r="E1289" s="8" t="str">
        <f t="shared" si="51"/>
        <v>女</v>
      </c>
      <c r="F1289" s="8" t="str">
        <f>"1994-04-23"</f>
        <v>1994-04-23</v>
      </c>
      <c r="G1289" s="9"/>
    </row>
    <row r="1290" spans="1:7" ht="13.5">
      <c r="A1290" s="7">
        <v>1288</v>
      </c>
      <c r="B1290" s="8" t="str">
        <f>"2341202009031627341315"</f>
        <v>2341202009031627341315</v>
      </c>
      <c r="C1290" s="8" t="s">
        <v>9</v>
      </c>
      <c r="D1290" s="8" t="str">
        <f>"杨井花"</f>
        <v>杨井花</v>
      </c>
      <c r="E1290" s="8" t="str">
        <f t="shared" si="51"/>
        <v>女</v>
      </c>
      <c r="F1290" s="8" t="str">
        <f>"1996-05-19"</f>
        <v>1996-05-19</v>
      </c>
      <c r="G1290" s="9"/>
    </row>
    <row r="1291" spans="1:7" ht="13.5">
      <c r="A1291" s="7">
        <v>1289</v>
      </c>
      <c r="B1291" s="8" t="str">
        <f>"2341202009031632161317"</f>
        <v>2341202009031632161317</v>
      </c>
      <c r="C1291" s="8" t="s">
        <v>9</v>
      </c>
      <c r="D1291" s="8" t="str">
        <f>"卢运芳"</f>
        <v>卢运芳</v>
      </c>
      <c r="E1291" s="8" t="str">
        <f t="shared" si="51"/>
        <v>女</v>
      </c>
      <c r="F1291" s="8" t="str">
        <f>"1993-02-18"</f>
        <v>1993-02-18</v>
      </c>
      <c r="G1291" s="9"/>
    </row>
    <row r="1292" spans="1:7" ht="13.5">
      <c r="A1292" s="7">
        <v>1290</v>
      </c>
      <c r="B1292" s="8" t="str">
        <f>"2341202009031636231319"</f>
        <v>2341202009031636231319</v>
      </c>
      <c r="C1292" s="8" t="s">
        <v>9</v>
      </c>
      <c r="D1292" s="8" t="str">
        <f>"符菊女"</f>
        <v>符菊女</v>
      </c>
      <c r="E1292" s="8" t="str">
        <f t="shared" si="51"/>
        <v>女</v>
      </c>
      <c r="F1292" s="8" t="str">
        <f>"1992-10-19"</f>
        <v>1992-10-19</v>
      </c>
      <c r="G1292" s="9"/>
    </row>
    <row r="1293" spans="1:7" ht="13.5">
      <c r="A1293" s="7">
        <v>1291</v>
      </c>
      <c r="B1293" s="8" t="str">
        <f>"2341202009031646181322"</f>
        <v>2341202009031646181322</v>
      </c>
      <c r="C1293" s="8" t="s">
        <v>9</v>
      </c>
      <c r="D1293" s="8" t="str">
        <f>"王晶晶"</f>
        <v>王晶晶</v>
      </c>
      <c r="E1293" s="8" t="str">
        <f t="shared" si="51"/>
        <v>女</v>
      </c>
      <c r="F1293" s="8" t="str">
        <f>"1998-09-23"</f>
        <v>1998-09-23</v>
      </c>
      <c r="G1293" s="9"/>
    </row>
    <row r="1294" spans="1:7" ht="13.5">
      <c r="A1294" s="7">
        <v>1292</v>
      </c>
      <c r="B1294" s="8" t="str">
        <f>"2341202009031650411323"</f>
        <v>2341202009031650411323</v>
      </c>
      <c r="C1294" s="8" t="s">
        <v>9</v>
      </c>
      <c r="D1294" s="8" t="str">
        <f>"王雅婷"</f>
        <v>王雅婷</v>
      </c>
      <c r="E1294" s="8" t="str">
        <f t="shared" si="51"/>
        <v>女</v>
      </c>
      <c r="F1294" s="8" t="str">
        <f>"1994-04-02"</f>
        <v>1994-04-02</v>
      </c>
      <c r="G1294" s="9"/>
    </row>
    <row r="1295" spans="1:7" ht="13.5">
      <c r="A1295" s="7">
        <v>1293</v>
      </c>
      <c r="B1295" s="8" t="str">
        <f>"2341202009031704261328"</f>
        <v>2341202009031704261328</v>
      </c>
      <c r="C1295" s="8" t="s">
        <v>9</v>
      </c>
      <c r="D1295" s="8" t="str">
        <f>"潘漂"</f>
        <v>潘漂</v>
      </c>
      <c r="E1295" s="8" t="str">
        <f t="shared" si="51"/>
        <v>女</v>
      </c>
      <c r="F1295" s="8" t="str">
        <f>"1993-10-14"</f>
        <v>1993-10-14</v>
      </c>
      <c r="G1295" s="9"/>
    </row>
    <row r="1296" spans="1:7" ht="13.5">
      <c r="A1296" s="7">
        <v>1294</v>
      </c>
      <c r="B1296" s="8" t="str">
        <f>"2341202009031712031331"</f>
        <v>2341202009031712031331</v>
      </c>
      <c r="C1296" s="8" t="s">
        <v>9</v>
      </c>
      <c r="D1296" s="8" t="str">
        <f>"陈娇虹"</f>
        <v>陈娇虹</v>
      </c>
      <c r="E1296" s="8" t="str">
        <f t="shared" si="51"/>
        <v>女</v>
      </c>
      <c r="F1296" s="8" t="str">
        <f>"1990-01-18"</f>
        <v>1990-01-18</v>
      </c>
      <c r="G1296" s="9"/>
    </row>
    <row r="1297" spans="1:7" ht="13.5">
      <c r="A1297" s="7">
        <v>1295</v>
      </c>
      <c r="B1297" s="8" t="str">
        <f>"2341202009031719291333"</f>
        <v>2341202009031719291333</v>
      </c>
      <c r="C1297" s="8" t="s">
        <v>9</v>
      </c>
      <c r="D1297" s="8" t="str">
        <f>"黄光藏"</f>
        <v>黄光藏</v>
      </c>
      <c r="E1297" s="8" t="str">
        <f>"男"</f>
        <v>男</v>
      </c>
      <c r="F1297" s="8" t="str">
        <f>"1996-02-16"</f>
        <v>1996-02-16</v>
      </c>
      <c r="G1297" s="9"/>
    </row>
    <row r="1298" spans="1:7" ht="13.5">
      <c r="A1298" s="7">
        <v>1296</v>
      </c>
      <c r="B1298" s="8" t="str">
        <f>"2341202009031721191335"</f>
        <v>2341202009031721191335</v>
      </c>
      <c r="C1298" s="8" t="s">
        <v>9</v>
      </c>
      <c r="D1298" s="8" t="str">
        <f>"陈美希"</f>
        <v>陈美希</v>
      </c>
      <c r="E1298" s="8" t="str">
        <f aca="true" t="shared" si="52" ref="E1298:E1306">"女"</f>
        <v>女</v>
      </c>
      <c r="F1298" s="8" t="str">
        <f>"1995-07-04"</f>
        <v>1995-07-04</v>
      </c>
      <c r="G1298" s="9"/>
    </row>
    <row r="1299" spans="1:7" ht="13.5">
      <c r="A1299" s="7">
        <v>1297</v>
      </c>
      <c r="B1299" s="8" t="str">
        <f>"2341202009031732181339"</f>
        <v>2341202009031732181339</v>
      </c>
      <c r="C1299" s="8" t="s">
        <v>9</v>
      </c>
      <c r="D1299" s="8" t="str">
        <f>"周声芳"</f>
        <v>周声芳</v>
      </c>
      <c r="E1299" s="8" t="str">
        <f t="shared" si="52"/>
        <v>女</v>
      </c>
      <c r="F1299" s="8" t="str">
        <f>"1995-08-23"</f>
        <v>1995-08-23</v>
      </c>
      <c r="G1299" s="9"/>
    </row>
    <row r="1300" spans="1:7" ht="13.5">
      <c r="A1300" s="7">
        <v>1298</v>
      </c>
      <c r="B1300" s="8" t="str">
        <f>"2341202009031802581346"</f>
        <v>2341202009031802581346</v>
      </c>
      <c r="C1300" s="8" t="s">
        <v>9</v>
      </c>
      <c r="D1300" s="8" t="str">
        <f>"符小叶"</f>
        <v>符小叶</v>
      </c>
      <c r="E1300" s="8" t="str">
        <f t="shared" si="52"/>
        <v>女</v>
      </c>
      <c r="F1300" s="8" t="str">
        <f>"1992-06-23"</f>
        <v>1992-06-23</v>
      </c>
      <c r="G1300" s="9"/>
    </row>
    <row r="1301" spans="1:7" ht="13.5">
      <c r="A1301" s="7">
        <v>1299</v>
      </c>
      <c r="B1301" s="8" t="str">
        <f>"2341202009031851411360"</f>
        <v>2341202009031851411360</v>
      </c>
      <c r="C1301" s="8" t="s">
        <v>9</v>
      </c>
      <c r="D1301" s="8" t="str">
        <f>"文菲"</f>
        <v>文菲</v>
      </c>
      <c r="E1301" s="8" t="str">
        <f t="shared" si="52"/>
        <v>女</v>
      </c>
      <c r="F1301" s="8" t="str">
        <f>"1997-04-23"</f>
        <v>1997-04-23</v>
      </c>
      <c r="G1301" s="9"/>
    </row>
    <row r="1302" spans="1:7" ht="13.5">
      <c r="A1302" s="7">
        <v>1300</v>
      </c>
      <c r="B1302" s="8" t="str">
        <f>"2341202009031907231362"</f>
        <v>2341202009031907231362</v>
      </c>
      <c r="C1302" s="8" t="s">
        <v>9</v>
      </c>
      <c r="D1302" s="8" t="str">
        <f>"白雅美"</f>
        <v>白雅美</v>
      </c>
      <c r="E1302" s="8" t="str">
        <f t="shared" si="52"/>
        <v>女</v>
      </c>
      <c r="F1302" s="8" t="str">
        <f>"1995-09-20"</f>
        <v>1995-09-20</v>
      </c>
      <c r="G1302" s="9"/>
    </row>
    <row r="1303" spans="1:7" ht="13.5">
      <c r="A1303" s="7">
        <v>1301</v>
      </c>
      <c r="B1303" s="8" t="str">
        <f>"2341202009032015501375"</f>
        <v>2341202009032015501375</v>
      </c>
      <c r="C1303" s="8" t="s">
        <v>9</v>
      </c>
      <c r="D1303" s="8" t="str">
        <f>"许春玲"</f>
        <v>许春玲</v>
      </c>
      <c r="E1303" s="8" t="str">
        <f t="shared" si="52"/>
        <v>女</v>
      </c>
      <c r="F1303" s="8" t="str">
        <f>"1995-03-15"</f>
        <v>1995-03-15</v>
      </c>
      <c r="G1303" s="9"/>
    </row>
    <row r="1304" spans="1:7" ht="13.5">
      <c r="A1304" s="7">
        <v>1302</v>
      </c>
      <c r="B1304" s="8" t="str">
        <f>"2341202009032035371379"</f>
        <v>2341202009032035371379</v>
      </c>
      <c r="C1304" s="8" t="s">
        <v>9</v>
      </c>
      <c r="D1304" s="8" t="str">
        <f>"苏元丽"</f>
        <v>苏元丽</v>
      </c>
      <c r="E1304" s="8" t="str">
        <f t="shared" si="52"/>
        <v>女</v>
      </c>
      <c r="F1304" s="8" t="str">
        <f>"1995-07-10"</f>
        <v>1995-07-10</v>
      </c>
      <c r="G1304" s="9"/>
    </row>
    <row r="1305" spans="1:7" ht="13.5">
      <c r="A1305" s="7">
        <v>1303</v>
      </c>
      <c r="B1305" s="8" t="str">
        <f>"2341202009032037391383"</f>
        <v>2341202009032037391383</v>
      </c>
      <c r="C1305" s="8" t="s">
        <v>9</v>
      </c>
      <c r="D1305" s="8" t="str">
        <f>"陈晓慧"</f>
        <v>陈晓慧</v>
      </c>
      <c r="E1305" s="8" t="str">
        <f t="shared" si="52"/>
        <v>女</v>
      </c>
      <c r="F1305" s="8" t="str">
        <f>"1992-11-15"</f>
        <v>1992-11-15</v>
      </c>
      <c r="G1305" s="9"/>
    </row>
    <row r="1306" spans="1:7" ht="13.5">
      <c r="A1306" s="7">
        <v>1304</v>
      </c>
      <c r="B1306" s="8" t="str">
        <f>"2341202009032053591386"</f>
        <v>2341202009032053591386</v>
      </c>
      <c r="C1306" s="8" t="s">
        <v>9</v>
      </c>
      <c r="D1306" s="8" t="str">
        <f>"周少汉"</f>
        <v>周少汉</v>
      </c>
      <c r="E1306" s="8" t="str">
        <f t="shared" si="52"/>
        <v>女</v>
      </c>
      <c r="F1306" s="8" t="str">
        <f>"1992-05-12"</f>
        <v>1992-05-12</v>
      </c>
      <c r="G1306" s="9"/>
    </row>
    <row r="1307" spans="1:7" ht="13.5">
      <c r="A1307" s="7">
        <v>1305</v>
      </c>
      <c r="B1307" s="8" t="str">
        <f>"2341202009032054441387"</f>
        <v>2341202009032054441387</v>
      </c>
      <c r="C1307" s="8" t="s">
        <v>9</v>
      </c>
      <c r="D1307" s="8" t="str">
        <f>"吴周济"</f>
        <v>吴周济</v>
      </c>
      <c r="E1307" s="8" t="str">
        <f>"男"</f>
        <v>男</v>
      </c>
      <c r="F1307" s="8" t="str">
        <f>"1996-01-09"</f>
        <v>1996-01-09</v>
      </c>
      <c r="G1307" s="9"/>
    </row>
    <row r="1308" spans="1:7" ht="13.5">
      <c r="A1308" s="7">
        <v>1306</v>
      </c>
      <c r="B1308" s="8" t="str">
        <f>"2341202009032112181395"</f>
        <v>2341202009032112181395</v>
      </c>
      <c r="C1308" s="8" t="s">
        <v>9</v>
      </c>
      <c r="D1308" s="8" t="str">
        <f>"吴啟军"</f>
        <v>吴啟军</v>
      </c>
      <c r="E1308" s="8" t="str">
        <f>"男"</f>
        <v>男</v>
      </c>
      <c r="F1308" s="8" t="str">
        <f>"1988-07-10"</f>
        <v>1988-07-10</v>
      </c>
      <c r="G1308" s="9"/>
    </row>
    <row r="1309" spans="1:7" ht="13.5">
      <c r="A1309" s="7">
        <v>1307</v>
      </c>
      <c r="B1309" s="8" t="str">
        <f>"2341202009032122301396"</f>
        <v>2341202009032122301396</v>
      </c>
      <c r="C1309" s="8" t="s">
        <v>9</v>
      </c>
      <c r="D1309" s="8" t="str">
        <f>"黄姗姗"</f>
        <v>黄姗姗</v>
      </c>
      <c r="E1309" s="8" t="str">
        <f aca="true" t="shared" si="53" ref="E1309:E1320">"女"</f>
        <v>女</v>
      </c>
      <c r="F1309" s="8" t="str">
        <f>"1988-09-15"</f>
        <v>1988-09-15</v>
      </c>
      <c r="G1309" s="9"/>
    </row>
    <row r="1310" spans="1:7" ht="13.5">
      <c r="A1310" s="7">
        <v>1308</v>
      </c>
      <c r="B1310" s="8" t="str">
        <f>"2341202009032137151399"</f>
        <v>2341202009032137151399</v>
      </c>
      <c r="C1310" s="8" t="s">
        <v>9</v>
      </c>
      <c r="D1310" s="8" t="str">
        <f>"卢施芬"</f>
        <v>卢施芬</v>
      </c>
      <c r="E1310" s="8" t="str">
        <f t="shared" si="53"/>
        <v>女</v>
      </c>
      <c r="F1310" s="8" t="str">
        <f>"1993-04-08"</f>
        <v>1993-04-08</v>
      </c>
      <c r="G1310" s="9"/>
    </row>
    <row r="1311" spans="1:7" ht="13.5">
      <c r="A1311" s="7">
        <v>1309</v>
      </c>
      <c r="B1311" s="8" t="str">
        <f>"2341202009032201421408"</f>
        <v>2341202009032201421408</v>
      </c>
      <c r="C1311" s="8" t="s">
        <v>9</v>
      </c>
      <c r="D1311" s="8" t="str">
        <f>"谢玲丹"</f>
        <v>谢玲丹</v>
      </c>
      <c r="E1311" s="8" t="str">
        <f t="shared" si="53"/>
        <v>女</v>
      </c>
      <c r="F1311" s="8" t="str">
        <f>"1990-09-14"</f>
        <v>1990-09-14</v>
      </c>
      <c r="G1311" s="9"/>
    </row>
    <row r="1312" spans="1:7" ht="13.5">
      <c r="A1312" s="7">
        <v>1310</v>
      </c>
      <c r="B1312" s="8" t="str">
        <f>"2341202009032246331418"</f>
        <v>2341202009032246331418</v>
      </c>
      <c r="C1312" s="8" t="s">
        <v>9</v>
      </c>
      <c r="D1312" s="8" t="str">
        <f>"薛和玉"</f>
        <v>薛和玉</v>
      </c>
      <c r="E1312" s="8" t="str">
        <f t="shared" si="53"/>
        <v>女</v>
      </c>
      <c r="F1312" s="8" t="str">
        <f>"1995-11-23"</f>
        <v>1995-11-23</v>
      </c>
      <c r="G1312" s="9"/>
    </row>
    <row r="1313" spans="1:7" ht="13.5">
      <c r="A1313" s="7">
        <v>1311</v>
      </c>
      <c r="B1313" s="8" t="str">
        <f>"2341202009032257451422"</f>
        <v>2341202009032257451422</v>
      </c>
      <c r="C1313" s="8" t="s">
        <v>9</v>
      </c>
      <c r="D1313" s="8" t="str">
        <f>"苏丽雪"</f>
        <v>苏丽雪</v>
      </c>
      <c r="E1313" s="8" t="str">
        <f t="shared" si="53"/>
        <v>女</v>
      </c>
      <c r="F1313" s="8" t="str">
        <f>"1998-02-20"</f>
        <v>1998-02-20</v>
      </c>
      <c r="G1313" s="9"/>
    </row>
    <row r="1314" spans="1:7" ht="13.5">
      <c r="A1314" s="7">
        <v>1312</v>
      </c>
      <c r="B1314" s="8" t="str">
        <f>"2341202009032300101423"</f>
        <v>2341202009032300101423</v>
      </c>
      <c r="C1314" s="8" t="s">
        <v>9</v>
      </c>
      <c r="D1314" s="8" t="str">
        <f>"吉才盈"</f>
        <v>吉才盈</v>
      </c>
      <c r="E1314" s="8" t="str">
        <f t="shared" si="53"/>
        <v>女</v>
      </c>
      <c r="F1314" s="8" t="str">
        <f>"1987-04-15"</f>
        <v>1987-04-15</v>
      </c>
      <c r="G1314" s="9"/>
    </row>
    <row r="1315" spans="1:7" ht="13.5">
      <c r="A1315" s="7">
        <v>1313</v>
      </c>
      <c r="B1315" s="8" t="str">
        <f>"2341202009032358101432"</f>
        <v>2341202009032358101432</v>
      </c>
      <c r="C1315" s="8" t="s">
        <v>9</v>
      </c>
      <c r="D1315" s="8" t="str">
        <f>"黄雪"</f>
        <v>黄雪</v>
      </c>
      <c r="E1315" s="8" t="str">
        <f t="shared" si="53"/>
        <v>女</v>
      </c>
      <c r="F1315" s="8" t="str">
        <f>"1998-02-02"</f>
        <v>1998-02-02</v>
      </c>
      <c r="G1315" s="9"/>
    </row>
    <row r="1316" spans="1:7" ht="13.5">
      <c r="A1316" s="7">
        <v>1314</v>
      </c>
      <c r="B1316" s="8" t="str">
        <f>"2341202009040344441435"</f>
        <v>2341202009040344441435</v>
      </c>
      <c r="C1316" s="8" t="s">
        <v>9</v>
      </c>
      <c r="D1316" s="8" t="str">
        <f>"王莉"</f>
        <v>王莉</v>
      </c>
      <c r="E1316" s="8" t="str">
        <f t="shared" si="53"/>
        <v>女</v>
      </c>
      <c r="F1316" s="8" t="str">
        <f>"1995-12-08"</f>
        <v>1995-12-08</v>
      </c>
      <c r="G1316" s="9"/>
    </row>
    <row r="1317" spans="1:7" ht="13.5">
      <c r="A1317" s="7">
        <v>1315</v>
      </c>
      <c r="B1317" s="8" t="str">
        <f>"2341202009040701571436"</f>
        <v>2341202009040701571436</v>
      </c>
      <c r="C1317" s="8" t="s">
        <v>9</v>
      </c>
      <c r="D1317" s="8" t="str">
        <f>"黄冬富"</f>
        <v>黄冬富</v>
      </c>
      <c r="E1317" s="8" t="str">
        <f t="shared" si="53"/>
        <v>女</v>
      </c>
      <c r="F1317" s="8" t="str">
        <f>"1994-06-20"</f>
        <v>1994-06-20</v>
      </c>
      <c r="G1317" s="9"/>
    </row>
    <row r="1318" spans="1:7" ht="13.5">
      <c r="A1318" s="7">
        <v>1316</v>
      </c>
      <c r="B1318" s="8" t="str">
        <f>"2341202009040728051437"</f>
        <v>2341202009040728051437</v>
      </c>
      <c r="C1318" s="8" t="s">
        <v>9</v>
      </c>
      <c r="D1318" s="8" t="str">
        <f>"林曼"</f>
        <v>林曼</v>
      </c>
      <c r="E1318" s="8" t="str">
        <f t="shared" si="53"/>
        <v>女</v>
      </c>
      <c r="F1318" s="8" t="str">
        <f>"1986-10-03"</f>
        <v>1986-10-03</v>
      </c>
      <c r="G1318" s="9"/>
    </row>
    <row r="1319" spans="1:7" ht="13.5">
      <c r="A1319" s="7">
        <v>1317</v>
      </c>
      <c r="B1319" s="8" t="str">
        <f>"2341202009040916331443"</f>
        <v>2341202009040916331443</v>
      </c>
      <c r="C1319" s="8" t="s">
        <v>9</v>
      </c>
      <c r="D1319" s="8" t="str">
        <f>"胡国敏"</f>
        <v>胡国敏</v>
      </c>
      <c r="E1319" s="8" t="str">
        <f t="shared" si="53"/>
        <v>女</v>
      </c>
      <c r="F1319" s="8" t="str">
        <f>"1988-11-10"</f>
        <v>1988-11-10</v>
      </c>
      <c r="G1319" s="9"/>
    </row>
    <row r="1320" spans="1:7" ht="13.5">
      <c r="A1320" s="7">
        <v>1318</v>
      </c>
      <c r="B1320" s="8" t="str">
        <f>"2341202009040921121444"</f>
        <v>2341202009040921121444</v>
      </c>
      <c r="C1320" s="8" t="s">
        <v>9</v>
      </c>
      <c r="D1320" s="8" t="str">
        <f>"符吉娜"</f>
        <v>符吉娜</v>
      </c>
      <c r="E1320" s="8" t="str">
        <f t="shared" si="53"/>
        <v>女</v>
      </c>
      <c r="F1320" s="8" t="str">
        <f>"1996-03-25"</f>
        <v>1996-03-25</v>
      </c>
      <c r="G1320" s="9"/>
    </row>
    <row r="1321" spans="1:7" ht="13.5">
      <c r="A1321" s="7">
        <v>1319</v>
      </c>
      <c r="B1321" s="8" t="str">
        <f>"2341202009041000501449"</f>
        <v>2341202009041000501449</v>
      </c>
      <c r="C1321" s="8" t="s">
        <v>9</v>
      </c>
      <c r="D1321" s="8" t="str">
        <f>"林宗唐"</f>
        <v>林宗唐</v>
      </c>
      <c r="E1321" s="8" t="str">
        <f>"男"</f>
        <v>男</v>
      </c>
      <c r="F1321" s="8" t="str">
        <f>"1988-07-06"</f>
        <v>1988-07-06</v>
      </c>
      <c r="G1321" s="9"/>
    </row>
    <row r="1322" spans="1:7" ht="13.5">
      <c r="A1322" s="7">
        <v>1320</v>
      </c>
      <c r="B1322" s="8" t="str">
        <f>"2341202009041021241458"</f>
        <v>2341202009041021241458</v>
      </c>
      <c r="C1322" s="8" t="s">
        <v>9</v>
      </c>
      <c r="D1322" s="8" t="str">
        <f>"高秀桂"</f>
        <v>高秀桂</v>
      </c>
      <c r="E1322" s="8" t="str">
        <f aca="true" t="shared" si="54" ref="E1322:E1332">"女"</f>
        <v>女</v>
      </c>
      <c r="F1322" s="8" t="str">
        <f>"1996-06-29"</f>
        <v>1996-06-29</v>
      </c>
      <c r="G1322" s="9"/>
    </row>
    <row r="1323" spans="1:7" ht="13.5">
      <c r="A1323" s="7">
        <v>1321</v>
      </c>
      <c r="B1323" s="8" t="str">
        <f>"2341202009041028591460"</f>
        <v>2341202009041028591460</v>
      </c>
      <c r="C1323" s="8" t="s">
        <v>9</v>
      </c>
      <c r="D1323" s="8" t="str">
        <f>"张可心"</f>
        <v>张可心</v>
      </c>
      <c r="E1323" s="8" t="str">
        <f t="shared" si="54"/>
        <v>女</v>
      </c>
      <c r="F1323" s="8" t="str">
        <f>"1986-02-14"</f>
        <v>1986-02-14</v>
      </c>
      <c r="G1323" s="9"/>
    </row>
    <row r="1324" spans="1:7" ht="13.5">
      <c r="A1324" s="7">
        <v>1322</v>
      </c>
      <c r="B1324" s="8" t="str">
        <f>"2341202009041045491465"</f>
        <v>2341202009041045491465</v>
      </c>
      <c r="C1324" s="8" t="s">
        <v>9</v>
      </c>
      <c r="D1324" s="8" t="str">
        <f>"陈会清"</f>
        <v>陈会清</v>
      </c>
      <c r="E1324" s="8" t="str">
        <f t="shared" si="54"/>
        <v>女</v>
      </c>
      <c r="F1324" s="8" t="str">
        <f>"1998-02-01"</f>
        <v>1998-02-01</v>
      </c>
      <c r="G1324" s="9"/>
    </row>
    <row r="1325" spans="1:7" ht="13.5">
      <c r="A1325" s="7">
        <v>1323</v>
      </c>
      <c r="B1325" s="8" t="str">
        <f>"2341202009041113101473"</f>
        <v>2341202009041113101473</v>
      </c>
      <c r="C1325" s="8" t="s">
        <v>9</v>
      </c>
      <c r="D1325" s="8" t="str">
        <f>"朱秀梅"</f>
        <v>朱秀梅</v>
      </c>
      <c r="E1325" s="8" t="str">
        <f t="shared" si="54"/>
        <v>女</v>
      </c>
      <c r="F1325" s="8" t="str">
        <f>"1994-01-05"</f>
        <v>1994-01-05</v>
      </c>
      <c r="G1325" s="9"/>
    </row>
    <row r="1326" spans="1:7" ht="13.5">
      <c r="A1326" s="7">
        <v>1324</v>
      </c>
      <c r="B1326" s="8" t="str">
        <f>"2341202009041225471486"</f>
        <v>2341202009041225471486</v>
      </c>
      <c r="C1326" s="8" t="s">
        <v>9</v>
      </c>
      <c r="D1326" s="8" t="str">
        <f>"罗琼欣"</f>
        <v>罗琼欣</v>
      </c>
      <c r="E1326" s="8" t="str">
        <f t="shared" si="54"/>
        <v>女</v>
      </c>
      <c r="F1326" s="8" t="str">
        <f>"1998-02-10"</f>
        <v>1998-02-10</v>
      </c>
      <c r="G1326" s="9"/>
    </row>
    <row r="1327" spans="1:7" ht="13.5">
      <c r="A1327" s="7">
        <v>1325</v>
      </c>
      <c r="B1327" s="8" t="str">
        <f>"2341202009041240501488"</f>
        <v>2341202009041240501488</v>
      </c>
      <c r="C1327" s="8" t="s">
        <v>9</v>
      </c>
      <c r="D1327" s="8" t="str">
        <f>"张少燕"</f>
        <v>张少燕</v>
      </c>
      <c r="E1327" s="8" t="str">
        <f t="shared" si="54"/>
        <v>女</v>
      </c>
      <c r="F1327" s="8" t="str">
        <f>"1990-06-20"</f>
        <v>1990-06-20</v>
      </c>
      <c r="G1327" s="9"/>
    </row>
    <row r="1328" spans="1:7" ht="13.5">
      <c r="A1328" s="7">
        <v>1326</v>
      </c>
      <c r="B1328" s="8" t="str">
        <f>"2341202009041244301490"</f>
        <v>2341202009041244301490</v>
      </c>
      <c r="C1328" s="8" t="s">
        <v>9</v>
      </c>
      <c r="D1328" s="8" t="str">
        <f>"蒋庆"</f>
        <v>蒋庆</v>
      </c>
      <c r="E1328" s="8" t="str">
        <f t="shared" si="54"/>
        <v>女</v>
      </c>
      <c r="F1328" s="8" t="str">
        <f>"1993-05-23"</f>
        <v>1993-05-23</v>
      </c>
      <c r="G1328" s="9"/>
    </row>
    <row r="1329" spans="1:7" ht="13.5">
      <c r="A1329" s="7">
        <v>1327</v>
      </c>
      <c r="B1329" s="8" t="str">
        <f>"2341202009041304371493"</f>
        <v>2341202009041304371493</v>
      </c>
      <c r="C1329" s="8" t="s">
        <v>9</v>
      </c>
      <c r="D1329" s="8" t="str">
        <f>"陈小雪"</f>
        <v>陈小雪</v>
      </c>
      <c r="E1329" s="8" t="str">
        <f t="shared" si="54"/>
        <v>女</v>
      </c>
      <c r="F1329" s="8" t="str">
        <f>"1994-08-27"</f>
        <v>1994-08-27</v>
      </c>
      <c r="G1329" s="9"/>
    </row>
    <row r="1330" spans="1:7" ht="13.5">
      <c r="A1330" s="7">
        <v>1328</v>
      </c>
      <c r="B1330" s="8" t="str">
        <f>"2341202009041431191499"</f>
        <v>2341202009041431191499</v>
      </c>
      <c r="C1330" s="8" t="s">
        <v>9</v>
      </c>
      <c r="D1330" s="8" t="str">
        <f>"符英珠"</f>
        <v>符英珠</v>
      </c>
      <c r="E1330" s="8" t="str">
        <f t="shared" si="54"/>
        <v>女</v>
      </c>
      <c r="F1330" s="8" t="str">
        <f>"1990-01-05"</f>
        <v>1990-01-05</v>
      </c>
      <c r="G1330" s="9"/>
    </row>
    <row r="1331" spans="1:7" ht="13.5">
      <c r="A1331" s="7">
        <v>1329</v>
      </c>
      <c r="B1331" s="8" t="str">
        <f>"2341202009041441411500"</f>
        <v>2341202009041441411500</v>
      </c>
      <c r="C1331" s="8" t="s">
        <v>9</v>
      </c>
      <c r="D1331" s="8" t="str">
        <f>"汤表莉"</f>
        <v>汤表莉</v>
      </c>
      <c r="E1331" s="8" t="str">
        <f t="shared" si="54"/>
        <v>女</v>
      </c>
      <c r="F1331" s="8" t="str">
        <f>"1996-02-24"</f>
        <v>1996-02-24</v>
      </c>
      <c r="G1331" s="9"/>
    </row>
    <row r="1332" spans="1:7" ht="13.5">
      <c r="A1332" s="7">
        <v>1330</v>
      </c>
      <c r="B1332" s="8" t="str">
        <f>"2341202009041442141501"</f>
        <v>2341202009041442141501</v>
      </c>
      <c r="C1332" s="8" t="s">
        <v>9</v>
      </c>
      <c r="D1332" s="8" t="str">
        <f>"郑音"</f>
        <v>郑音</v>
      </c>
      <c r="E1332" s="8" t="str">
        <f t="shared" si="54"/>
        <v>女</v>
      </c>
      <c r="F1332" s="8" t="str">
        <f>"1994-04-21"</f>
        <v>1994-04-21</v>
      </c>
      <c r="G1332" s="9"/>
    </row>
    <row r="1333" spans="1:7" ht="13.5">
      <c r="A1333" s="7">
        <v>1331</v>
      </c>
      <c r="B1333" s="8" t="str">
        <f>"2341202009041445191503"</f>
        <v>2341202009041445191503</v>
      </c>
      <c r="C1333" s="8" t="s">
        <v>9</v>
      </c>
      <c r="D1333" s="8" t="str">
        <f>"包兵兵"</f>
        <v>包兵兵</v>
      </c>
      <c r="E1333" s="8" t="str">
        <f>"男"</f>
        <v>男</v>
      </c>
      <c r="F1333" s="8" t="str">
        <f>"1990-10-12"</f>
        <v>1990-10-12</v>
      </c>
      <c r="G1333" s="9"/>
    </row>
    <row r="1334" spans="1:7" ht="13.5">
      <c r="A1334" s="7">
        <v>1332</v>
      </c>
      <c r="B1334" s="8" t="str">
        <f>"2341202009041450561505"</f>
        <v>2341202009041450561505</v>
      </c>
      <c r="C1334" s="8" t="s">
        <v>9</v>
      </c>
      <c r="D1334" s="8" t="str">
        <f>"郑初莲"</f>
        <v>郑初莲</v>
      </c>
      <c r="E1334" s="8" t="str">
        <f aca="true" t="shared" si="55" ref="E1334:E1370">"女"</f>
        <v>女</v>
      </c>
      <c r="F1334" s="8" t="str">
        <f>"1990-09-11"</f>
        <v>1990-09-11</v>
      </c>
      <c r="G1334" s="9"/>
    </row>
    <row r="1335" spans="1:7" ht="13.5">
      <c r="A1335" s="7">
        <v>1333</v>
      </c>
      <c r="B1335" s="8" t="str">
        <f>"2341202009041450571506"</f>
        <v>2341202009041450571506</v>
      </c>
      <c r="C1335" s="8" t="s">
        <v>9</v>
      </c>
      <c r="D1335" s="8" t="str">
        <f>"董威"</f>
        <v>董威</v>
      </c>
      <c r="E1335" s="8" t="str">
        <f t="shared" si="55"/>
        <v>女</v>
      </c>
      <c r="F1335" s="8" t="str">
        <f>"1992-01-04"</f>
        <v>1992-01-04</v>
      </c>
      <c r="G1335" s="9"/>
    </row>
    <row r="1336" spans="1:7" ht="13.5">
      <c r="A1336" s="7">
        <v>1334</v>
      </c>
      <c r="B1336" s="8" t="str">
        <f>"2341202009041500431510"</f>
        <v>2341202009041500431510</v>
      </c>
      <c r="C1336" s="8" t="s">
        <v>9</v>
      </c>
      <c r="D1336" s="8" t="str">
        <f>"刘青青"</f>
        <v>刘青青</v>
      </c>
      <c r="E1336" s="8" t="str">
        <f t="shared" si="55"/>
        <v>女</v>
      </c>
      <c r="F1336" s="8" t="str">
        <f>"1994-07-25"</f>
        <v>1994-07-25</v>
      </c>
      <c r="G1336" s="9"/>
    </row>
    <row r="1337" spans="1:7" ht="13.5">
      <c r="A1337" s="7">
        <v>1335</v>
      </c>
      <c r="B1337" s="8" t="str">
        <f>"2341202009041632121530"</f>
        <v>2341202009041632121530</v>
      </c>
      <c r="C1337" s="8" t="s">
        <v>9</v>
      </c>
      <c r="D1337" s="8" t="str">
        <f>"秦丹凤"</f>
        <v>秦丹凤</v>
      </c>
      <c r="E1337" s="8" t="str">
        <f t="shared" si="55"/>
        <v>女</v>
      </c>
      <c r="F1337" s="8" t="str">
        <f>"1995-07-29"</f>
        <v>1995-07-29</v>
      </c>
      <c r="G1337" s="9"/>
    </row>
    <row r="1338" spans="1:7" ht="13.5">
      <c r="A1338" s="7">
        <v>1336</v>
      </c>
      <c r="B1338" s="8" t="str">
        <f>"2341202009041639051533"</f>
        <v>2341202009041639051533</v>
      </c>
      <c r="C1338" s="8" t="s">
        <v>9</v>
      </c>
      <c r="D1338" s="8" t="str">
        <f>"钟海比"</f>
        <v>钟海比</v>
      </c>
      <c r="E1338" s="8" t="str">
        <f t="shared" si="55"/>
        <v>女</v>
      </c>
      <c r="F1338" s="8" t="str">
        <f>"1991-01-06"</f>
        <v>1991-01-06</v>
      </c>
      <c r="G1338" s="9"/>
    </row>
    <row r="1339" spans="1:7" ht="13.5">
      <c r="A1339" s="7">
        <v>1337</v>
      </c>
      <c r="B1339" s="8" t="str">
        <f>"2341202009041645291534"</f>
        <v>2341202009041645291534</v>
      </c>
      <c r="C1339" s="8" t="s">
        <v>9</v>
      </c>
      <c r="D1339" s="8" t="str">
        <f>"李秀波"</f>
        <v>李秀波</v>
      </c>
      <c r="E1339" s="8" t="str">
        <f t="shared" si="55"/>
        <v>女</v>
      </c>
      <c r="F1339" s="8" t="str">
        <f>"1997-06-08"</f>
        <v>1997-06-08</v>
      </c>
      <c r="G1339" s="9"/>
    </row>
    <row r="1340" spans="1:7" ht="13.5">
      <c r="A1340" s="7">
        <v>1338</v>
      </c>
      <c r="B1340" s="8" t="str">
        <f>"2341202009041712071541"</f>
        <v>2341202009041712071541</v>
      </c>
      <c r="C1340" s="8" t="s">
        <v>9</v>
      </c>
      <c r="D1340" s="8" t="str">
        <f>"林珍珍"</f>
        <v>林珍珍</v>
      </c>
      <c r="E1340" s="8" t="str">
        <f t="shared" si="55"/>
        <v>女</v>
      </c>
      <c r="F1340" s="8" t="str">
        <f>"1997-08-12"</f>
        <v>1997-08-12</v>
      </c>
      <c r="G1340" s="9"/>
    </row>
    <row r="1341" spans="1:7" ht="13.5">
      <c r="A1341" s="7">
        <v>1339</v>
      </c>
      <c r="B1341" s="8" t="str">
        <f>"2341202009041722211542"</f>
        <v>2341202009041722211542</v>
      </c>
      <c r="C1341" s="8" t="s">
        <v>9</v>
      </c>
      <c r="D1341" s="8" t="str">
        <f>"麦苗"</f>
        <v>麦苗</v>
      </c>
      <c r="E1341" s="8" t="str">
        <f t="shared" si="55"/>
        <v>女</v>
      </c>
      <c r="F1341" s="8" t="str">
        <f>"1996-08-19"</f>
        <v>1996-08-19</v>
      </c>
      <c r="G1341" s="9"/>
    </row>
    <row r="1342" spans="1:7" ht="13.5">
      <c r="A1342" s="7">
        <v>1340</v>
      </c>
      <c r="B1342" s="8" t="str">
        <f>"2341202009041745131544"</f>
        <v>2341202009041745131544</v>
      </c>
      <c r="C1342" s="8" t="s">
        <v>9</v>
      </c>
      <c r="D1342" s="8" t="str">
        <f>"王丽燕"</f>
        <v>王丽燕</v>
      </c>
      <c r="E1342" s="8" t="str">
        <f t="shared" si="55"/>
        <v>女</v>
      </c>
      <c r="F1342" s="8" t="str">
        <f>"1993-09-13"</f>
        <v>1993-09-13</v>
      </c>
      <c r="G1342" s="9"/>
    </row>
    <row r="1343" spans="1:7" ht="13.5">
      <c r="A1343" s="7">
        <v>1341</v>
      </c>
      <c r="B1343" s="8" t="str">
        <f>"2341202009041753401546"</f>
        <v>2341202009041753401546</v>
      </c>
      <c r="C1343" s="8" t="s">
        <v>9</v>
      </c>
      <c r="D1343" s="8" t="str">
        <f>"韦彩丹"</f>
        <v>韦彩丹</v>
      </c>
      <c r="E1343" s="8" t="str">
        <f t="shared" si="55"/>
        <v>女</v>
      </c>
      <c r="F1343" s="8" t="str">
        <f>"1996-06-28"</f>
        <v>1996-06-28</v>
      </c>
      <c r="G1343" s="9"/>
    </row>
    <row r="1344" spans="1:7" ht="13.5">
      <c r="A1344" s="7">
        <v>1342</v>
      </c>
      <c r="B1344" s="8" t="str">
        <f>"2341202009041754071547"</f>
        <v>2341202009041754071547</v>
      </c>
      <c r="C1344" s="8" t="s">
        <v>9</v>
      </c>
      <c r="D1344" s="8" t="str">
        <f>"胡相慧"</f>
        <v>胡相慧</v>
      </c>
      <c r="E1344" s="8" t="str">
        <f t="shared" si="55"/>
        <v>女</v>
      </c>
      <c r="F1344" s="8" t="str">
        <f>"1997-01-20"</f>
        <v>1997-01-20</v>
      </c>
      <c r="G1344" s="9"/>
    </row>
    <row r="1345" spans="1:7" ht="13.5">
      <c r="A1345" s="7">
        <v>1343</v>
      </c>
      <c r="B1345" s="8" t="str">
        <f>"2341202009041803321550"</f>
        <v>2341202009041803321550</v>
      </c>
      <c r="C1345" s="8" t="s">
        <v>9</v>
      </c>
      <c r="D1345" s="8" t="str">
        <f>"贺玉梅"</f>
        <v>贺玉梅</v>
      </c>
      <c r="E1345" s="8" t="str">
        <f t="shared" si="55"/>
        <v>女</v>
      </c>
      <c r="F1345" s="8" t="str">
        <f>"1990-05-08"</f>
        <v>1990-05-08</v>
      </c>
      <c r="G1345" s="9"/>
    </row>
    <row r="1346" spans="1:7" ht="13.5">
      <c r="A1346" s="7">
        <v>1344</v>
      </c>
      <c r="B1346" s="8" t="str">
        <f>"2341202009041941001562"</f>
        <v>2341202009041941001562</v>
      </c>
      <c r="C1346" s="8" t="s">
        <v>9</v>
      </c>
      <c r="D1346" s="8" t="str">
        <f>"何大莉"</f>
        <v>何大莉</v>
      </c>
      <c r="E1346" s="8" t="str">
        <f t="shared" si="55"/>
        <v>女</v>
      </c>
      <c r="F1346" s="8" t="str">
        <f>"1990-01-13"</f>
        <v>1990-01-13</v>
      </c>
      <c r="G1346" s="9"/>
    </row>
    <row r="1347" spans="1:7" ht="13.5">
      <c r="A1347" s="7">
        <v>1345</v>
      </c>
      <c r="B1347" s="8" t="str">
        <f>"2341202009042021101566"</f>
        <v>2341202009042021101566</v>
      </c>
      <c r="C1347" s="8" t="s">
        <v>9</v>
      </c>
      <c r="D1347" s="8" t="str">
        <f>"林鑫"</f>
        <v>林鑫</v>
      </c>
      <c r="E1347" s="8" t="str">
        <f t="shared" si="55"/>
        <v>女</v>
      </c>
      <c r="F1347" s="8" t="str">
        <f>"1996-12-20"</f>
        <v>1996-12-20</v>
      </c>
      <c r="G1347" s="9"/>
    </row>
    <row r="1348" spans="1:7" ht="13.5">
      <c r="A1348" s="7">
        <v>1346</v>
      </c>
      <c r="B1348" s="8" t="str">
        <f>"2341202009042116291581"</f>
        <v>2341202009042116291581</v>
      </c>
      <c r="C1348" s="8" t="s">
        <v>9</v>
      </c>
      <c r="D1348" s="8" t="str">
        <f>"邵淇"</f>
        <v>邵淇</v>
      </c>
      <c r="E1348" s="8" t="str">
        <f t="shared" si="55"/>
        <v>女</v>
      </c>
      <c r="F1348" s="8" t="str">
        <f>"1994-01-05"</f>
        <v>1994-01-05</v>
      </c>
      <c r="G1348" s="9"/>
    </row>
    <row r="1349" spans="1:7" ht="13.5">
      <c r="A1349" s="7">
        <v>1347</v>
      </c>
      <c r="B1349" s="8" t="str">
        <f>"2341202009042154241590"</f>
        <v>2341202009042154241590</v>
      </c>
      <c r="C1349" s="8" t="s">
        <v>9</v>
      </c>
      <c r="D1349" s="8" t="str">
        <f>"陈慧"</f>
        <v>陈慧</v>
      </c>
      <c r="E1349" s="8" t="str">
        <f t="shared" si="55"/>
        <v>女</v>
      </c>
      <c r="F1349" s="8" t="str">
        <f>"1995-11-05"</f>
        <v>1995-11-05</v>
      </c>
      <c r="G1349" s="9"/>
    </row>
    <row r="1350" spans="1:7" ht="13.5">
      <c r="A1350" s="7">
        <v>1348</v>
      </c>
      <c r="B1350" s="8" t="str">
        <f>"2341202009042222191595"</f>
        <v>2341202009042222191595</v>
      </c>
      <c r="C1350" s="8" t="s">
        <v>9</v>
      </c>
      <c r="D1350" s="8" t="str">
        <f>"邢雯婷"</f>
        <v>邢雯婷</v>
      </c>
      <c r="E1350" s="8" t="str">
        <f t="shared" si="55"/>
        <v>女</v>
      </c>
      <c r="F1350" s="8" t="str">
        <f>"1995-09-17"</f>
        <v>1995-09-17</v>
      </c>
      <c r="G1350" s="9"/>
    </row>
    <row r="1351" spans="1:7" ht="13.5">
      <c r="A1351" s="7">
        <v>1349</v>
      </c>
      <c r="B1351" s="8" t="str">
        <f>"2341202009042230111599"</f>
        <v>2341202009042230111599</v>
      </c>
      <c r="C1351" s="8" t="s">
        <v>9</v>
      </c>
      <c r="D1351" s="8" t="str">
        <f>"吴春玲"</f>
        <v>吴春玲</v>
      </c>
      <c r="E1351" s="8" t="str">
        <f t="shared" si="55"/>
        <v>女</v>
      </c>
      <c r="F1351" s="8" t="str">
        <f>"1988-01-27"</f>
        <v>1988-01-27</v>
      </c>
      <c r="G1351" s="9"/>
    </row>
    <row r="1352" spans="1:7" ht="13.5">
      <c r="A1352" s="7">
        <v>1350</v>
      </c>
      <c r="B1352" s="8" t="str">
        <f>"2341202009042231401600"</f>
        <v>2341202009042231401600</v>
      </c>
      <c r="C1352" s="8" t="s">
        <v>9</v>
      </c>
      <c r="D1352" s="8" t="str">
        <f>"李秀丽"</f>
        <v>李秀丽</v>
      </c>
      <c r="E1352" s="8" t="str">
        <f t="shared" si="55"/>
        <v>女</v>
      </c>
      <c r="F1352" s="8" t="str">
        <f>"1995-09-16"</f>
        <v>1995-09-16</v>
      </c>
      <c r="G1352" s="9"/>
    </row>
    <row r="1353" spans="1:7" ht="13.5">
      <c r="A1353" s="7">
        <v>1351</v>
      </c>
      <c r="B1353" s="8" t="str">
        <f>"2341202009042256561603"</f>
        <v>2341202009042256561603</v>
      </c>
      <c r="C1353" s="8" t="s">
        <v>9</v>
      </c>
      <c r="D1353" s="8" t="str">
        <f>"蒲耀耀"</f>
        <v>蒲耀耀</v>
      </c>
      <c r="E1353" s="8" t="str">
        <f t="shared" si="55"/>
        <v>女</v>
      </c>
      <c r="F1353" s="8" t="str">
        <f>"1991-08-11"</f>
        <v>1991-08-11</v>
      </c>
      <c r="G1353" s="9"/>
    </row>
    <row r="1354" spans="1:7" ht="13.5">
      <c r="A1354" s="7">
        <v>1352</v>
      </c>
      <c r="B1354" s="8" t="str">
        <f>"2341202009050001521610"</f>
        <v>2341202009050001521610</v>
      </c>
      <c r="C1354" s="8" t="s">
        <v>9</v>
      </c>
      <c r="D1354" s="8" t="str">
        <f>"王海芳"</f>
        <v>王海芳</v>
      </c>
      <c r="E1354" s="8" t="str">
        <f t="shared" si="55"/>
        <v>女</v>
      </c>
      <c r="F1354" s="8" t="str">
        <f>"1993-02-22"</f>
        <v>1993-02-22</v>
      </c>
      <c r="G1354" s="9"/>
    </row>
    <row r="1355" spans="1:7" ht="13.5">
      <c r="A1355" s="7">
        <v>1353</v>
      </c>
      <c r="B1355" s="8" t="str">
        <f>"2341202009050848381613"</f>
        <v>2341202009050848381613</v>
      </c>
      <c r="C1355" s="8" t="s">
        <v>9</v>
      </c>
      <c r="D1355" s="8" t="str">
        <f>"钟主琼"</f>
        <v>钟主琼</v>
      </c>
      <c r="E1355" s="8" t="str">
        <f t="shared" si="55"/>
        <v>女</v>
      </c>
      <c r="F1355" s="8" t="str">
        <f>"1991-08-07"</f>
        <v>1991-08-07</v>
      </c>
      <c r="G1355" s="9"/>
    </row>
    <row r="1356" spans="1:7" ht="13.5">
      <c r="A1356" s="7">
        <v>1354</v>
      </c>
      <c r="B1356" s="8" t="str">
        <f>"2341202009050904351614"</f>
        <v>2341202009050904351614</v>
      </c>
      <c r="C1356" s="8" t="s">
        <v>9</v>
      </c>
      <c r="D1356" s="8" t="str">
        <f>"黎福桃"</f>
        <v>黎福桃</v>
      </c>
      <c r="E1356" s="8" t="str">
        <f t="shared" si="55"/>
        <v>女</v>
      </c>
      <c r="F1356" s="8" t="str">
        <f>"1993-10-26"</f>
        <v>1993-10-26</v>
      </c>
      <c r="G1356" s="9"/>
    </row>
    <row r="1357" spans="1:7" ht="13.5">
      <c r="A1357" s="7">
        <v>1355</v>
      </c>
      <c r="B1357" s="8" t="str">
        <f>"2341202009051001071620"</f>
        <v>2341202009051001071620</v>
      </c>
      <c r="C1357" s="8" t="s">
        <v>9</v>
      </c>
      <c r="D1357" s="8" t="str">
        <f>"邢丽琴"</f>
        <v>邢丽琴</v>
      </c>
      <c r="E1357" s="8" t="str">
        <f t="shared" si="55"/>
        <v>女</v>
      </c>
      <c r="F1357" s="8" t="str">
        <f>"1994-12-08"</f>
        <v>1994-12-08</v>
      </c>
      <c r="G1357" s="9"/>
    </row>
    <row r="1358" spans="1:7" ht="13.5">
      <c r="A1358" s="7">
        <v>1356</v>
      </c>
      <c r="B1358" s="8" t="str">
        <f>"2341202009051002091621"</f>
        <v>2341202009051002091621</v>
      </c>
      <c r="C1358" s="8" t="s">
        <v>9</v>
      </c>
      <c r="D1358" s="8" t="str">
        <f>"高芳艺"</f>
        <v>高芳艺</v>
      </c>
      <c r="E1358" s="8" t="str">
        <f t="shared" si="55"/>
        <v>女</v>
      </c>
      <c r="F1358" s="8" t="str">
        <f>"1993-07-16"</f>
        <v>1993-07-16</v>
      </c>
      <c r="G1358" s="9"/>
    </row>
    <row r="1359" spans="1:7" ht="13.5">
      <c r="A1359" s="7">
        <v>1357</v>
      </c>
      <c r="B1359" s="8" t="str">
        <f>"2341202009051025271626"</f>
        <v>2341202009051025271626</v>
      </c>
      <c r="C1359" s="8" t="s">
        <v>9</v>
      </c>
      <c r="D1359" s="8" t="str">
        <f>"王艳姗"</f>
        <v>王艳姗</v>
      </c>
      <c r="E1359" s="8" t="str">
        <f t="shared" si="55"/>
        <v>女</v>
      </c>
      <c r="F1359" s="8" t="str">
        <f>"1995-07-15"</f>
        <v>1995-07-15</v>
      </c>
      <c r="G1359" s="9"/>
    </row>
    <row r="1360" spans="1:7" ht="13.5">
      <c r="A1360" s="7">
        <v>1358</v>
      </c>
      <c r="B1360" s="8" t="str">
        <f>"2341202009051027441627"</f>
        <v>2341202009051027441627</v>
      </c>
      <c r="C1360" s="8" t="s">
        <v>9</v>
      </c>
      <c r="D1360" s="8" t="str">
        <f>"唐青霞"</f>
        <v>唐青霞</v>
      </c>
      <c r="E1360" s="8" t="str">
        <f t="shared" si="55"/>
        <v>女</v>
      </c>
      <c r="F1360" s="8" t="str">
        <f>"1989-03-30"</f>
        <v>1989-03-30</v>
      </c>
      <c r="G1360" s="9"/>
    </row>
    <row r="1361" spans="1:7" ht="13.5">
      <c r="A1361" s="7">
        <v>1359</v>
      </c>
      <c r="B1361" s="8" t="str">
        <f>"2341202009051028281628"</f>
        <v>2341202009051028281628</v>
      </c>
      <c r="C1361" s="8" t="s">
        <v>9</v>
      </c>
      <c r="D1361" s="8" t="str">
        <f>"符东梅"</f>
        <v>符东梅</v>
      </c>
      <c r="E1361" s="8" t="str">
        <f t="shared" si="55"/>
        <v>女</v>
      </c>
      <c r="F1361" s="8" t="str">
        <f>"1996-04-07"</f>
        <v>1996-04-07</v>
      </c>
      <c r="G1361" s="9"/>
    </row>
    <row r="1362" spans="1:7" ht="13.5">
      <c r="A1362" s="7">
        <v>1360</v>
      </c>
      <c r="B1362" s="8" t="str">
        <f>"2341202009051045541633"</f>
        <v>2341202009051045541633</v>
      </c>
      <c r="C1362" s="8" t="s">
        <v>9</v>
      </c>
      <c r="D1362" s="8" t="str">
        <f>"甘玲"</f>
        <v>甘玲</v>
      </c>
      <c r="E1362" s="8" t="str">
        <f t="shared" si="55"/>
        <v>女</v>
      </c>
      <c r="F1362" s="8" t="str">
        <f>"1992-02-16"</f>
        <v>1992-02-16</v>
      </c>
      <c r="G1362" s="9"/>
    </row>
    <row r="1363" spans="1:7" ht="13.5">
      <c r="A1363" s="7">
        <v>1361</v>
      </c>
      <c r="B1363" s="8" t="str">
        <f>"2341202009051053161635"</f>
        <v>2341202009051053161635</v>
      </c>
      <c r="C1363" s="8" t="s">
        <v>9</v>
      </c>
      <c r="D1363" s="8" t="str">
        <f>"赵艺芳"</f>
        <v>赵艺芳</v>
      </c>
      <c r="E1363" s="8" t="str">
        <f t="shared" si="55"/>
        <v>女</v>
      </c>
      <c r="F1363" s="8" t="str">
        <f>"1996-12-01"</f>
        <v>1996-12-01</v>
      </c>
      <c r="G1363" s="9"/>
    </row>
    <row r="1364" spans="1:7" ht="13.5">
      <c r="A1364" s="7">
        <v>1362</v>
      </c>
      <c r="B1364" s="8" t="str">
        <f>"2341202009051115171637"</f>
        <v>2341202009051115171637</v>
      </c>
      <c r="C1364" s="8" t="s">
        <v>9</v>
      </c>
      <c r="D1364" s="8" t="str">
        <f>"翁小青"</f>
        <v>翁小青</v>
      </c>
      <c r="E1364" s="8" t="str">
        <f t="shared" si="55"/>
        <v>女</v>
      </c>
      <c r="F1364" s="8" t="str">
        <f>"1995-06-18"</f>
        <v>1995-06-18</v>
      </c>
      <c r="G1364" s="9"/>
    </row>
    <row r="1365" spans="1:7" ht="13.5">
      <c r="A1365" s="7">
        <v>1363</v>
      </c>
      <c r="B1365" s="8" t="str">
        <f>"2341202009051121191639"</f>
        <v>2341202009051121191639</v>
      </c>
      <c r="C1365" s="8" t="s">
        <v>9</v>
      </c>
      <c r="D1365" s="8" t="str">
        <f>"黎三花"</f>
        <v>黎三花</v>
      </c>
      <c r="E1365" s="8" t="str">
        <f t="shared" si="55"/>
        <v>女</v>
      </c>
      <c r="F1365" s="8" t="str">
        <f>"1995-10-13"</f>
        <v>1995-10-13</v>
      </c>
      <c r="G1365" s="9"/>
    </row>
    <row r="1366" spans="1:7" ht="13.5">
      <c r="A1366" s="7">
        <v>1364</v>
      </c>
      <c r="B1366" s="8" t="str">
        <f>"2341202009051143001642"</f>
        <v>2341202009051143001642</v>
      </c>
      <c r="C1366" s="8" t="s">
        <v>9</v>
      </c>
      <c r="D1366" s="8" t="str">
        <f>"刘文婷"</f>
        <v>刘文婷</v>
      </c>
      <c r="E1366" s="8" t="str">
        <f t="shared" si="55"/>
        <v>女</v>
      </c>
      <c r="F1366" s="8" t="str">
        <f>"1991-03-07"</f>
        <v>1991-03-07</v>
      </c>
      <c r="G1366" s="9"/>
    </row>
    <row r="1367" spans="1:7" ht="13.5">
      <c r="A1367" s="7">
        <v>1365</v>
      </c>
      <c r="B1367" s="8" t="str">
        <f>"2341202009051152121645"</f>
        <v>2341202009051152121645</v>
      </c>
      <c r="C1367" s="8" t="s">
        <v>9</v>
      </c>
      <c r="D1367" s="8" t="str">
        <f>"李婷婷"</f>
        <v>李婷婷</v>
      </c>
      <c r="E1367" s="8" t="str">
        <f t="shared" si="55"/>
        <v>女</v>
      </c>
      <c r="F1367" s="8" t="str">
        <f>"1994-06-18"</f>
        <v>1994-06-18</v>
      </c>
      <c r="G1367" s="9"/>
    </row>
    <row r="1368" spans="1:7" ht="13.5">
      <c r="A1368" s="7">
        <v>1366</v>
      </c>
      <c r="B1368" s="8" t="str">
        <f>"2341202009051155561647"</f>
        <v>2341202009051155561647</v>
      </c>
      <c r="C1368" s="8" t="s">
        <v>9</v>
      </c>
      <c r="D1368" s="8" t="str">
        <f>"罗凡"</f>
        <v>罗凡</v>
      </c>
      <c r="E1368" s="8" t="str">
        <f t="shared" si="55"/>
        <v>女</v>
      </c>
      <c r="F1368" s="8" t="str">
        <f>"1993-08-25"</f>
        <v>1993-08-25</v>
      </c>
      <c r="G1368" s="9"/>
    </row>
    <row r="1369" spans="1:7" ht="13.5">
      <c r="A1369" s="7">
        <v>1367</v>
      </c>
      <c r="B1369" s="8" t="str">
        <f>"2341202009051331521658"</f>
        <v>2341202009051331521658</v>
      </c>
      <c r="C1369" s="8" t="s">
        <v>9</v>
      </c>
      <c r="D1369" s="8" t="str">
        <f>"孙倩"</f>
        <v>孙倩</v>
      </c>
      <c r="E1369" s="8" t="str">
        <f t="shared" si="55"/>
        <v>女</v>
      </c>
      <c r="F1369" s="8" t="str">
        <f>"1994-01-30"</f>
        <v>1994-01-30</v>
      </c>
      <c r="G1369" s="9"/>
    </row>
    <row r="1370" spans="1:7" ht="13.5">
      <c r="A1370" s="7">
        <v>1368</v>
      </c>
      <c r="B1370" s="8" t="str">
        <f>"2341202009051344481659"</f>
        <v>2341202009051344481659</v>
      </c>
      <c r="C1370" s="8" t="s">
        <v>9</v>
      </c>
      <c r="D1370" s="8" t="str">
        <f>"丁珊珊"</f>
        <v>丁珊珊</v>
      </c>
      <c r="E1370" s="8" t="str">
        <f t="shared" si="55"/>
        <v>女</v>
      </c>
      <c r="F1370" s="8" t="str">
        <f>"1995-02-27"</f>
        <v>1995-02-27</v>
      </c>
      <c r="G1370" s="9"/>
    </row>
    <row r="1371" spans="1:7" ht="13.5">
      <c r="A1371" s="7">
        <v>1369</v>
      </c>
      <c r="B1371" s="8" t="str">
        <f>"2341202009051414121660"</f>
        <v>2341202009051414121660</v>
      </c>
      <c r="C1371" s="8" t="s">
        <v>9</v>
      </c>
      <c r="D1371" s="8" t="str">
        <f>"纪长铭"</f>
        <v>纪长铭</v>
      </c>
      <c r="E1371" s="8" t="str">
        <f>"男"</f>
        <v>男</v>
      </c>
      <c r="F1371" s="8" t="str">
        <f>"1986-10-06"</f>
        <v>1986-10-06</v>
      </c>
      <c r="G1371" s="9"/>
    </row>
    <row r="1372" spans="1:7" ht="13.5">
      <c r="A1372" s="7">
        <v>1370</v>
      </c>
      <c r="B1372" s="8" t="str">
        <f>"2341202009051514151668"</f>
        <v>2341202009051514151668</v>
      </c>
      <c r="C1372" s="8" t="s">
        <v>9</v>
      </c>
      <c r="D1372" s="8" t="str">
        <f>"王青梅"</f>
        <v>王青梅</v>
      </c>
      <c r="E1372" s="8" t="str">
        <f aca="true" t="shared" si="56" ref="E1372:E1397">"女"</f>
        <v>女</v>
      </c>
      <c r="F1372" s="8" t="str">
        <f>"1993-08-24"</f>
        <v>1993-08-24</v>
      </c>
      <c r="G1372" s="9"/>
    </row>
    <row r="1373" spans="1:7" ht="13.5">
      <c r="A1373" s="7">
        <v>1371</v>
      </c>
      <c r="B1373" s="8" t="str">
        <f>"2341202009051519011669"</f>
        <v>2341202009051519011669</v>
      </c>
      <c r="C1373" s="8" t="s">
        <v>9</v>
      </c>
      <c r="D1373" s="8" t="str">
        <f>"杨虹"</f>
        <v>杨虹</v>
      </c>
      <c r="E1373" s="8" t="str">
        <f t="shared" si="56"/>
        <v>女</v>
      </c>
      <c r="F1373" s="8" t="str">
        <f>"1997-05-31"</f>
        <v>1997-05-31</v>
      </c>
      <c r="G1373" s="9"/>
    </row>
    <row r="1374" spans="1:7" ht="13.5">
      <c r="A1374" s="7">
        <v>1372</v>
      </c>
      <c r="B1374" s="8" t="str">
        <f>"2341202009051545591672"</f>
        <v>2341202009051545591672</v>
      </c>
      <c r="C1374" s="8" t="s">
        <v>9</v>
      </c>
      <c r="D1374" s="8" t="str">
        <f>"杨芳"</f>
        <v>杨芳</v>
      </c>
      <c r="E1374" s="8" t="str">
        <f t="shared" si="56"/>
        <v>女</v>
      </c>
      <c r="F1374" s="8" t="str">
        <f>"1992-10-15"</f>
        <v>1992-10-15</v>
      </c>
      <c r="G1374" s="9"/>
    </row>
    <row r="1375" spans="1:7" ht="13.5">
      <c r="A1375" s="7">
        <v>1373</v>
      </c>
      <c r="B1375" s="8" t="str">
        <f>"2341202009051618011677"</f>
        <v>2341202009051618011677</v>
      </c>
      <c r="C1375" s="8" t="s">
        <v>9</v>
      </c>
      <c r="D1375" s="8" t="str">
        <f>"许英娜"</f>
        <v>许英娜</v>
      </c>
      <c r="E1375" s="8" t="str">
        <f t="shared" si="56"/>
        <v>女</v>
      </c>
      <c r="F1375" s="8" t="str">
        <f>"1995-03-06"</f>
        <v>1995-03-06</v>
      </c>
      <c r="G1375" s="9"/>
    </row>
    <row r="1376" spans="1:7" ht="13.5">
      <c r="A1376" s="7">
        <v>1374</v>
      </c>
      <c r="B1376" s="8" t="str">
        <f>"2341202009051622131679"</f>
        <v>2341202009051622131679</v>
      </c>
      <c r="C1376" s="8" t="s">
        <v>9</v>
      </c>
      <c r="D1376" s="8" t="str">
        <f>"欧艳虹"</f>
        <v>欧艳虹</v>
      </c>
      <c r="E1376" s="8" t="str">
        <f t="shared" si="56"/>
        <v>女</v>
      </c>
      <c r="F1376" s="8" t="str">
        <f>"1992-10-20"</f>
        <v>1992-10-20</v>
      </c>
      <c r="G1376" s="9"/>
    </row>
    <row r="1377" spans="1:7" ht="13.5">
      <c r="A1377" s="7">
        <v>1375</v>
      </c>
      <c r="B1377" s="8" t="str">
        <f>"2341202009051645101687"</f>
        <v>2341202009051645101687</v>
      </c>
      <c r="C1377" s="8" t="s">
        <v>9</v>
      </c>
      <c r="D1377" s="8" t="str">
        <f>"王丽"</f>
        <v>王丽</v>
      </c>
      <c r="E1377" s="8" t="str">
        <f t="shared" si="56"/>
        <v>女</v>
      </c>
      <c r="F1377" s="8" t="str">
        <f>"1995-09-19"</f>
        <v>1995-09-19</v>
      </c>
      <c r="G1377" s="9"/>
    </row>
    <row r="1378" spans="1:7" ht="13.5">
      <c r="A1378" s="7">
        <v>1376</v>
      </c>
      <c r="B1378" s="8" t="str">
        <f>"2341202009051714191692"</f>
        <v>2341202009051714191692</v>
      </c>
      <c r="C1378" s="8" t="s">
        <v>9</v>
      </c>
      <c r="D1378" s="8" t="str">
        <f>"王江云"</f>
        <v>王江云</v>
      </c>
      <c r="E1378" s="8" t="str">
        <f t="shared" si="56"/>
        <v>女</v>
      </c>
      <c r="F1378" s="8" t="str">
        <f>"1990-04-07"</f>
        <v>1990-04-07</v>
      </c>
      <c r="G1378" s="9"/>
    </row>
    <row r="1379" spans="1:7" ht="13.5">
      <c r="A1379" s="7">
        <v>1377</v>
      </c>
      <c r="B1379" s="8" t="str">
        <f>"2341202009051720591693"</f>
        <v>2341202009051720591693</v>
      </c>
      <c r="C1379" s="8" t="s">
        <v>9</v>
      </c>
      <c r="D1379" s="8" t="str">
        <f>"谢紫婵"</f>
        <v>谢紫婵</v>
      </c>
      <c r="E1379" s="8" t="str">
        <f t="shared" si="56"/>
        <v>女</v>
      </c>
      <c r="F1379" s="8" t="str">
        <f>"1995-12-12"</f>
        <v>1995-12-12</v>
      </c>
      <c r="G1379" s="9"/>
    </row>
    <row r="1380" spans="1:7" ht="13.5">
      <c r="A1380" s="7">
        <v>1378</v>
      </c>
      <c r="B1380" s="8" t="str">
        <f>"2341202009051749491700"</f>
        <v>2341202009051749491700</v>
      </c>
      <c r="C1380" s="8" t="s">
        <v>9</v>
      </c>
      <c r="D1380" s="8" t="str">
        <f>"陈丽"</f>
        <v>陈丽</v>
      </c>
      <c r="E1380" s="8" t="str">
        <f t="shared" si="56"/>
        <v>女</v>
      </c>
      <c r="F1380" s="8" t="str">
        <f>"1994-01-12"</f>
        <v>1994-01-12</v>
      </c>
      <c r="G1380" s="9"/>
    </row>
    <row r="1381" spans="1:7" ht="13.5">
      <c r="A1381" s="7">
        <v>1379</v>
      </c>
      <c r="B1381" s="8" t="str">
        <f>"2341202009051800111702"</f>
        <v>2341202009051800111702</v>
      </c>
      <c r="C1381" s="8" t="s">
        <v>9</v>
      </c>
      <c r="D1381" s="8" t="str">
        <f>"王晓敏"</f>
        <v>王晓敏</v>
      </c>
      <c r="E1381" s="8" t="str">
        <f t="shared" si="56"/>
        <v>女</v>
      </c>
      <c r="F1381" s="8" t="str">
        <f>"1994-04-02"</f>
        <v>1994-04-02</v>
      </c>
      <c r="G1381" s="9"/>
    </row>
    <row r="1382" spans="1:7" ht="13.5">
      <c r="A1382" s="7">
        <v>1380</v>
      </c>
      <c r="B1382" s="8" t="str">
        <f>"2341202009051812491705"</f>
        <v>2341202009051812491705</v>
      </c>
      <c r="C1382" s="8" t="s">
        <v>9</v>
      </c>
      <c r="D1382" s="8" t="str">
        <f>"吴艳萍"</f>
        <v>吴艳萍</v>
      </c>
      <c r="E1382" s="8" t="str">
        <f t="shared" si="56"/>
        <v>女</v>
      </c>
      <c r="F1382" s="8" t="str">
        <f>"1996-10-23"</f>
        <v>1996-10-23</v>
      </c>
      <c r="G1382" s="9"/>
    </row>
    <row r="1383" spans="1:7" ht="13.5">
      <c r="A1383" s="7">
        <v>1381</v>
      </c>
      <c r="B1383" s="8" t="str">
        <f>"2341202009051840091708"</f>
        <v>2341202009051840091708</v>
      </c>
      <c r="C1383" s="8" t="s">
        <v>9</v>
      </c>
      <c r="D1383" s="8" t="str">
        <f>"曾婷"</f>
        <v>曾婷</v>
      </c>
      <c r="E1383" s="8" t="str">
        <f t="shared" si="56"/>
        <v>女</v>
      </c>
      <c r="F1383" s="8" t="str">
        <f>"1993-08-22"</f>
        <v>1993-08-22</v>
      </c>
      <c r="G1383" s="9"/>
    </row>
    <row r="1384" spans="1:7" ht="13.5">
      <c r="A1384" s="7">
        <v>1382</v>
      </c>
      <c r="B1384" s="8" t="str">
        <f>"2341202009052015271720"</f>
        <v>2341202009052015271720</v>
      </c>
      <c r="C1384" s="8" t="s">
        <v>9</v>
      </c>
      <c r="D1384" s="8" t="str">
        <f>"李燕"</f>
        <v>李燕</v>
      </c>
      <c r="E1384" s="8" t="str">
        <f t="shared" si="56"/>
        <v>女</v>
      </c>
      <c r="F1384" s="8" t="str">
        <f>"1994-11-01"</f>
        <v>1994-11-01</v>
      </c>
      <c r="G1384" s="9"/>
    </row>
    <row r="1385" spans="1:7" ht="13.5">
      <c r="A1385" s="7">
        <v>1383</v>
      </c>
      <c r="B1385" s="8" t="str">
        <f>"2341202009052032381722"</f>
        <v>2341202009052032381722</v>
      </c>
      <c r="C1385" s="8" t="s">
        <v>9</v>
      </c>
      <c r="D1385" s="8" t="str">
        <f>"谷贞锐"</f>
        <v>谷贞锐</v>
      </c>
      <c r="E1385" s="8" t="str">
        <f t="shared" si="56"/>
        <v>女</v>
      </c>
      <c r="F1385" s="8" t="str">
        <f>"1996-02-02"</f>
        <v>1996-02-02</v>
      </c>
      <c r="G1385" s="9"/>
    </row>
    <row r="1386" spans="1:7" ht="13.5">
      <c r="A1386" s="7">
        <v>1384</v>
      </c>
      <c r="B1386" s="8" t="str">
        <f>"2341202009052102301725"</f>
        <v>2341202009052102301725</v>
      </c>
      <c r="C1386" s="8" t="s">
        <v>9</v>
      </c>
      <c r="D1386" s="8" t="str">
        <f>"刘莉"</f>
        <v>刘莉</v>
      </c>
      <c r="E1386" s="8" t="str">
        <f t="shared" si="56"/>
        <v>女</v>
      </c>
      <c r="F1386" s="8" t="str">
        <f>"1994-03-25"</f>
        <v>1994-03-25</v>
      </c>
      <c r="G1386" s="9"/>
    </row>
    <row r="1387" spans="1:7" ht="13.5">
      <c r="A1387" s="7">
        <v>1385</v>
      </c>
      <c r="B1387" s="8" t="str">
        <f>"2341202009052229391738"</f>
        <v>2341202009052229391738</v>
      </c>
      <c r="C1387" s="8" t="s">
        <v>9</v>
      </c>
      <c r="D1387" s="8" t="str">
        <f>"王玲"</f>
        <v>王玲</v>
      </c>
      <c r="E1387" s="8" t="str">
        <f t="shared" si="56"/>
        <v>女</v>
      </c>
      <c r="F1387" s="8" t="str">
        <f>"1992-09-24"</f>
        <v>1992-09-24</v>
      </c>
      <c r="G1387" s="9"/>
    </row>
    <row r="1388" spans="1:7" ht="13.5">
      <c r="A1388" s="7">
        <v>1386</v>
      </c>
      <c r="B1388" s="8" t="str">
        <f>"2341202009052329481748"</f>
        <v>2341202009052329481748</v>
      </c>
      <c r="C1388" s="8" t="s">
        <v>9</v>
      </c>
      <c r="D1388" s="8" t="str">
        <f>"王敏"</f>
        <v>王敏</v>
      </c>
      <c r="E1388" s="8" t="str">
        <f t="shared" si="56"/>
        <v>女</v>
      </c>
      <c r="F1388" s="8" t="str">
        <f>"1994-09-06"</f>
        <v>1994-09-06</v>
      </c>
      <c r="G1388" s="9"/>
    </row>
    <row r="1389" spans="1:7" ht="13.5">
      <c r="A1389" s="7">
        <v>1387</v>
      </c>
      <c r="B1389" s="8" t="str">
        <f>"2341202009052340451749"</f>
        <v>2341202009052340451749</v>
      </c>
      <c r="C1389" s="8" t="s">
        <v>9</v>
      </c>
      <c r="D1389" s="8" t="str">
        <f>"袁正媛"</f>
        <v>袁正媛</v>
      </c>
      <c r="E1389" s="8" t="str">
        <f t="shared" si="56"/>
        <v>女</v>
      </c>
      <c r="F1389" s="8" t="str">
        <f>"1993-04-12"</f>
        <v>1993-04-12</v>
      </c>
      <c r="G1389" s="9"/>
    </row>
    <row r="1390" spans="1:7" ht="13.5">
      <c r="A1390" s="7">
        <v>1388</v>
      </c>
      <c r="B1390" s="8" t="str">
        <f>"2341202009060835151756"</f>
        <v>2341202009060835151756</v>
      </c>
      <c r="C1390" s="8" t="s">
        <v>9</v>
      </c>
      <c r="D1390" s="8" t="str">
        <f>"阮琼霞"</f>
        <v>阮琼霞</v>
      </c>
      <c r="E1390" s="8" t="str">
        <f t="shared" si="56"/>
        <v>女</v>
      </c>
      <c r="F1390" s="8" t="str">
        <f>"1993-06-13"</f>
        <v>1993-06-13</v>
      </c>
      <c r="G1390" s="9"/>
    </row>
    <row r="1391" spans="1:7" ht="13.5">
      <c r="A1391" s="7">
        <v>1389</v>
      </c>
      <c r="B1391" s="8" t="str">
        <f>"2341202009060959221765"</f>
        <v>2341202009060959221765</v>
      </c>
      <c r="C1391" s="8" t="s">
        <v>9</v>
      </c>
      <c r="D1391" s="8" t="str">
        <f>"陈令"</f>
        <v>陈令</v>
      </c>
      <c r="E1391" s="8" t="str">
        <f t="shared" si="56"/>
        <v>女</v>
      </c>
      <c r="F1391" s="8" t="str">
        <f>"1996-07-29"</f>
        <v>1996-07-29</v>
      </c>
      <c r="G1391" s="9"/>
    </row>
    <row r="1392" spans="1:7" ht="13.5">
      <c r="A1392" s="7">
        <v>1390</v>
      </c>
      <c r="B1392" s="8" t="str">
        <f>"2341202009061048221771"</f>
        <v>2341202009061048221771</v>
      </c>
      <c r="C1392" s="8" t="s">
        <v>9</v>
      </c>
      <c r="D1392" s="8" t="str">
        <f>"高珍桃"</f>
        <v>高珍桃</v>
      </c>
      <c r="E1392" s="8" t="str">
        <f t="shared" si="56"/>
        <v>女</v>
      </c>
      <c r="F1392" s="8" t="str">
        <f>"1990-12-28"</f>
        <v>1990-12-28</v>
      </c>
      <c r="G1392" s="9"/>
    </row>
    <row r="1393" spans="1:7" ht="13.5">
      <c r="A1393" s="7">
        <v>1391</v>
      </c>
      <c r="B1393" s="8" t="str">
        <f>"2341202009061104571774"</f>
        <v>2341202009061104571774</v>
      </c>
      <c r="C1393" s="8" t="s">
        <v>9</v>
      </c>
      <c r="D1393" s="8" t="str">
        <f>"林芳青"</f>
        <v>林芳青</v>
      </c>
      <c r="E1393" s="8" t="str">
        <f t="shared" si="56"/>
        <v>女</v>
      </c>
      <c r="F1393" s="8" t="str">
        <f>"1992-12-30"</f>
        <v>1992-12-30</v>
      </c>
      <c r="G1393" s="9"/>
    </row>
    <row r="1394" spans="1:7" ht="13.5">
      <c r="A1394" s="7">
        <v>1392</v>
      </c>
      <c r="B1394" s="8" t="str">
        <f>"2341202009061112021777"</f>
        <v>2341202009061112021777</v>
      </c>
      <c r="C1394" s="8" t="s">
        <v>9</v>
      </c>
      <c r="D1394" s="8" t="str">
        <f>"林琼英"</f>
        <v>林琼英</v>
      </c>
      <c r="E1394" s="8" t="str">
        <f t="shared" si="56"/>
        <v>女</v>
      </c>
      <c r="F1394" s="8" t="str">
        <f>"1992-01-07"</f>
        <v>1992-01-07</v>
      </c>
      <c r="G1394" s="9"/>
    </row>
    <row r="1395" spans="1:7" ht="13.5">
      <c r="A1395" s="7">
        <v>1393</v>
      </c>
      <c r="B1395" s="8" t="str">
        <f>"2341202009061159341783"</f>
        <v>2341202009061159341783</v>
      </c>
      <c r="C1395" s="8" t="s">
        <v>9</v>
      </c>
      <c r="D1395" s="8" t="str">
        <f>"周海花"</f>
        <v>周海花</v>
      </c>
      <c r="E1395" s="8" t="str">
        <f t="shared" si="56"/>
        <v>女</v>
      </c>
      <c r="F1395" s="8" t="str">
        <f>"1993-04-17"</f>
        <v>1993-04-17</v>
      </c>
      <c r="G1395" s="9"/>
    </row>
    <row r="1396" spans="1:7" ht="13.5">
      <c r="A1396" s="7">
        <v>1394</v>
      </c>
      <c r="B1396" s="8" t="str">
        <f>"2341202009061202431784"</f>
        <v>2341202009061202431784</v>
      </c>
      <c r="C1396" s="8" t="s">
        <v>9</v>
      </c>
      <c r="D1396" s="8" t="str">
        <f>"林莉红"</f>
        <v>林莉红</v>
      </c>
      <c r="E1396" s="8" t="str">
        <f t="shared" si="56"/>
        <v>女</v>
      </c>
      <c r="F1396" s="8" t="str">
        <f>"1991-05-17"</f>
        <v>1991-05-17</v>
      </c>
      <c r="G1396" s="9"/>
    </row>
    <row r="1397" spans="1:7" ht="13.5">
      <c r="A1397" s="7">
        <v>1395</v>
      </c>
      <c r="B1397" s="8" t="str">
        <f>"2341202009061204541785"</f>
        <v>2341202009061204541785</v>
      </c>
      <c r="C1397" s="8" t="s">
        <v>9</v>
      </c>
      <c r="D1397" s="8" t="str">
        <f>"林何花"</f>
        <v>林何花</v>
      </c>
      <c r="E1397" s="8" t="str">
        <f t="shared" si="56"/>
        <v>女</v>
      </c>
      <c r="F1397" s="8" t="str">
        <f>"1996-04-29"</f>
        <v>1996-04-29</v>
      </c>
      <c r="G1397" s="9"/>
    </row>
    <row r="1398" spans="1:7" ht="13.5">
      <c r="A1398" s="7">
        <v>1396</v>
      </c>
      <c r="B1398" s="8" t="str">
        <f>"2341202009061236171789"</f>
        <v>2341202009061236171789</v>
      </c>
      <c r="C1398" s="8" t="s">
        <v>9</v>
      </c>
      <c r="D1398" s="8" t="str">
        <f>"韦一集"</f>
        <v>韦一集</v>
      </c>
      <c r="E1398" s="8" t="str">
        <f>"男"</f>
        <v>男</v>
      </c>
      <c r="F1398" s="8" t="str">
        <f>"1987-10-20"</f>
        <v>1987-10-20</v>
      </c>
      <c r="G1398" s="9"/>
    </row>
    <row r="1399" spans="1:7" ht="13.5">
      <c r="A1399" s="7">
        <v>1397</v>
      </c>
      <c r="B1399" s="8" t="str">
        <f>"2341202009061313301793"</f>
        <v>2341202009061313301793</v>
      </c>
      <c r="C1399" s="8" t="s">
        <v>9</v>
      </c>
      <c r="D1399" s="8" t="str">
        <f>"叶国英"</f>
        <v>叶国英</v>
      </c>
      <c r="E1399" s="8" t="str">
        <f aca="true" t="shared" si="57" ref="E1399:E1417">"女"</f>
        <v>女</v>
      </c>
      <c r="F1399" s="8" t="str">
        <f>"1996-07-29"</f>
        <v>1996-07-29</v>
      </c>
      <c r="G1399" s="9"/>
    </row>
    <row r="1400" spans="1:7" ht="13.5">
      <c r="A1400" s="7">
        <v>1398</v>
      </c>
      <c r="B1400" s="8" t="str">
        <f>"2341202009061401471800"</f>
        <v>2341202009061401471800</v>
      </c>
      <c r="C1400" s="8" t="s">
        <v>9</v>
      </c>
      <c r="D1400" s="8" t="str">
        <f>"李兴乾"</f>
        <v>李兴乾</v>
      </c>
      <c r="E1400" s="8" t="str">
        <f t="shared" si="57"/>
        <v>女</v>
      </c>
      <c r="F1400" s="8" t="str">
        <f>"1994-06-07"</f>
        <v>1994-06-07</v>
      </c>
      <c r="G1400" s="9"/>
    </row>
    <row r="1401" spans="1:7" ht="13.5">
      <c r="A1401" s="7">
        <v>1399</v>
      </c>
      <c r="B1401" s="8" t="str">
        <f>"2341202009061408131801"</f>
        <v>2341202009061408131801</v>
      </c>
      <c r="C1401" s="8" t="s">
        <v>9</v>
      </c>
      <c r="D1401" s="8" t="str">
        <f>"林琳"</f>
        <v>林琳</v>
      </c>
      <c r="E1401" s="8" t="str">
        <f t="shared" si="57"/>
        <v>女</v>
      </c>
      <c r="F1401" s="8" t="str">
        <f>"1991-02-08"</f>
        <v>1991-02-08</v>
      </c>
      <c r="G1401" s="9"/>
    </row>
    <row r="1402" spans="1:7" ht="13.5">
      <c r="A1402" s="7">
        <v>1400</v>
      </c>
      <c r="B1402" s="8" t="str">
        <f>"2341202009061420551803"</f>
        <v>2341202009061420551803</v>
      </c>
      <c r="C1402" s="8" t="s">
        <v>9</v>
      </c>
      <c r="D1402" s="8" t="str">
        <f>"邹丹丹"</f>
        <v>邹丹丹</v>
      </c>
      <c r="E1402" s="8" t="str">
        <f t="shared" si="57"/>
        <v>女</v>
      </c>
      <c r="F1402" s="8" t="str">
        <f>"1993-08-25"</f>
        <v>1993-08-25</v>
      </c>
      <c r="G1402" s="9"/>
    </row>
    <row r="1403" spans="1:7" ht="13.5">
      <c r="A1403" s="7">
        <v>1401</v>
      </c>
      <c r="B1403" s="8" t="str">
        <f>"2341202009061422461804"</f>
        <v>2341202009061422461804</v>
      </c>
      <c r="C1403" s="8" t="s">
        <v>9</v>
      </c>
      <c r="D1403" s="8" t="str">
        <f>"董少芬"</f>
        <v>董少芬</v>
      </c>
      <c r="E1403" s="8" t="str">
        <f t="shared" si="57"/>
        <v>女</v>
      </c>
      <c r="F1403" s="8" t="str">
        <f>"1995-07-03"</f>
        <v>1995-07-03</v>
      </c>
      <c r="G1403" s="9"/>
    </row>
    <row r="1404" spans="1:7" ht="13.5">
      <c r="A1404" s="7">
        <v>1402</v>
      </c>
      <c r="B1404" s="8" t="str">
        <f>"2341202009061500511805"</f>
        <v>2341202009061500511805</v>
      </c>
      <c r="C1404" s="8" t="s">
        <v>9</v>
      </c>
      <c r="D1404" s="8" t="str">
        <f>"黄丽燕"</f>
        <v>黄丽燕</v>
      </c>
      <c r="E1404" s="8" t="str">
        <f t="shared" si="57"/>
        <v>女</v>
      </c>
      <c r="F1404" s="8" t="str">
        <f>"1988-08-06"</f>
        <v>1988-08-06</v>
      </c>
      <c r="G1404" s="9"/>
    </row>
    <row r="1405" spans="1:7" ht="13.5">
      <c r="A1405" s="7">
        <v>1403</v>
      </c>
      <c r="B1405" s="8" t="str">
        <f>"2341202009061538061807"</f>
        <v>2341202009061538061807</v>
      </c>
      <c r="C1405" s="8" t="s">
        <v>9</v>
      </c>
      <c r="D1405" s="8" t="str">
        <f>"周婆姣"</f>
        <v>周婆姣</v>
      </c>
      <c r="E1405" s="8" t="str">
        <f t="shared" si="57"/>
        <v>女</v>
      </c>
      <c r="F1405" s="8" t="str">
        <f>"1996-06-07"</f>
        <v>1996-06-07</v>
      </c>
      <c r="G1405" s="9"/>
    </row>
    <row r="1406" spans="1:7" ht="13.5">
      <c r="A1406" s="7">
        <v>1404</v>
      </c>
      <c r="B1406" s="8" t="str">
        <f>"2341202009061552391812"</f>
        <v>2341202009061552391812</v>
      </c>
      <c r="C1406" s="8" t="s">
        <v>9</v>
      </c>
      <c r="D1406" s="8" t="str">
        <f>"曾敏琴"</f>
        <v>曾敏琴</v>
      </c>
      <c r="E1406" s="8" t="str">
        <f t="shared" si="57"/>
        <v>女</v>
      </c>
      <c r="F1406" s="8" t="str">
        <f>"1990-07-15"</f>
        <v>1990-07-15</v>
      </c>
      <c r="G1406" s="9"/>
    </row>
    <row r="1407" spans="1:7" ht="13.5">
      <c r="A1407" s="7">
        <v>1405</v>
      </c>
      <c r="B1407" s="8" t="str">
        <f>"2341202009061624201816"</f>
        <v>2341202009061624201816</v>
      </c>
      <c r="C1407" s="8" t="s">
        <v>9</v>
      </c>
      <c r="D1407" s="8" t="str">
        <f>"王玉"</f>
        <v>王玉</v>
      </c>
      <c r="E1407" s="8" t="str">
        <f t="shared" si="57"/>
        <v>女</v>
      </c>
      <c r="F1407" s="8" t="str">
        <f>"1993-12-25"</f>
        <v>1993-12-25</v>
      </c>
      <c r="G1407" s="9"/>
    </row>
    <row r="1408" spans="1:7" ht="13.5">
      <c r="A1408" s="7">
        <v>1406</v>
      </c>
      <c r="B1408" s="8" t="str">
        <f>"2341202009061653201821"</f>
        <v>2341202009061653201821</v>
      </c>
      <c r="C1408" s="8" t="s">
        <v>9</v>
      </c>
      <c r="D1408" s="8" t="str">
        <f>"杨柳梅"</f>
        <v>杨柳梅</v>
      </c>
      <c r="E1408" s="8" t="str">
        <f t="shared" si="57"/>
        <v>女</v>
      </c>
      <c r="F1408" s="8" t="str">
        <f>"1985-07-28"</f>
        <v>1985-07-28</v>
      </c>
      <c r="G1408" s="9"/>
    </row>
    <row r="1409" spans="1:7" ht="13.5">
      <c r="A1409" s="7">
        <v>1407</v>
      </c>
      <c r="B1409" s="8" t="str">
        <f>"2341202009061728161825"</f>
        <v>2341202009061728161825</v>
      </c>
      <c r="C1409" s="8" t="s">
        <v>9</v>
      </c>
      <c r="D1409" s="8" t="str">
        <f>"李丽君"</f>
        <v>李丽君</v>
      </c>
      <c r="E1409" s="8" t="str">
        <f t="shared" si="57"/>
        <v>女</v>
      </c>
      <c r="F1409" s="8" t="str">
        <f>"1991-12-24"</f>
        <v>1991-12-24</v>
      </c>
      <c r="G1409" s="9"/>
    </row>
    <row r="1410" spans="1:7" ht="13.5">
      <c r="A1410" s="7">
        <v>1408</v>
      </c>
      <c r="B1410" s="8" t="str">
        <f>"2341202009061747471826"</f>
        <v>2341202009061747471826</v>
      </c>
      <c r="C1410" s="8" t="s">
        <v>9</v>
      </c>
      <c r="D1410" s="8" t="str">
        <f>"蔡琼慧"</f>
        <v>蔡琼慧</v>
      </c>
      <c r="E1410" s="8" t="str">
        <f t="shared" si="57"/>
        <v>女</v>
      </c>
      <c r="F1410" s="8" t="str">
        <f>"1997-10-02"</f>
        <v>1997-10-02</v>
      </c>
      <c r="G1410" s="9"/>
    </row>
    <row r="1411" spans="1:7" ht="13.5">
      <c r="A1411" s="7">
        <v>1409</v>
      </c>
      <c r="B1411" s="8" t="str">
        <f>"2341202009061823531832"</f>
        <v>2341202009061823531832</v>
      </c>
      <c r="C1411" s="8" t="s">
        <v>9</v>
      </c>
      <c r="D1411" s="8" t="str">
        <f>"陈凤娟"</f>
        <v>陈凤娟</v>
      </c>
      <c r="E1411" s="8" t="str">
        <f t="shared" si="57"/>
        <v>女</v>
      </c>
      <c r="F1411" s="8" t="str">
        <f>"1992-01-12"</f>
        <v>1992-01-12</v>
      </c>
      <c r="G1411" s="9"/>
    </row>
    <row r="1412" spans="1:7" ht="13.5">
      <c r="A1412" s="7">
        <v>1410</v>
      </c>
      <c r="B1412" s="8" t="str">
        <f>"2341202009061914031842"</f>
        <v>2341202009061914031842</v>
      </c>
      <c r="C1412" s="8" t="s">
        <v>9</v>
      </c>
      <c r="D1412" s="8" t="str">
        <f>"黎美愉"</f>
        <v>黎美愉</v>
      </c>
      <c r="E1412" s="8" t="str">
        <f t="shared" si="57"/>
        <v>女</v>
      </c>
      <c r="F1412" s="8" t="str">
        <f>"1998-10-10"</f>
        <v>1998-10-10</v>
      </c>
      <c r="G1412" s="9"/>
    </row>
    <row r="1413" spans="1:7" ht="13.5">
      <c r="A1413" s="7">
        <v>1411</v>
      </c>
      <c r="B1413" s="8" t="str">
        <f>"2341202009061957081846"</f>
        <v>2341202009061957081846</v>
      </c>
      <c r="C1413" s="8" t="s">
        <v>9</v>
      </c>
      <c r="D1413" s="8" t="str">
        <f>"林敏"</f>
        <v>林敏</v>
      </c>
      <c r="E1413" s="8" t="str">
        <f t="shared" si="57"/>
        <v>女</v>
      </c>
      <c r="F1413" s="8" t="str">
        <f>"1994-05-22"</f>
        <v>1994-05-22</v>
      </c>
      <c r="G1413" s="9"/>
    </row>
    <row r="1414" spans="1:7" ht="13.5">
      <c r="A1414" s="7">
        <v>1412</v>
      </c>
      <c r="B1414" s="8" t="str">
        <f>"2341202009062004371847"</f>
        <v>2341202009062004371847</v>
      </c>
      <c r="C1414" s="8" t="s">
        <v>9</v>
      </c>
      <c r="D1414" s="8" t="str">
        <f>"杨丽萍"</f>
        <v>杨丽萍</v>
      </c>
      <c r="E1414" s="8" t="str">
        <f t="shared" si="57"/>
        <v>女</v>
      </c>
      <c r="F1414" s="8" t="str">
        <f>"1994-05-07"</f>
        <v>1994-05-07</v>
      </c>
      <c r="G1414" s="9"/>
    </row>
    <row r="1415" spans="1:7" ht="13.5">
      <c r="A1415" s="7">
        <v>1413</v>
      </c>
      <c r="B1415" s="8" t="str">
        <f>"2341202009062146331856"</f>
        <v>2341202009062146331856</v>
      </c>
      <c r="C1415" s="8" t="s">
        <v>9</v>
      </c>
      <c r="D1415" s="8" t="str">
        <f>"包峻虹"</f>
        <v>包峻虹</v>
      </c>
      <c r="E1415" s="8" t="str">
        <f t="shared" si="57"/>
        <v>女</v>
      </c>
      <c r="F1415" s="8" t="str">
        <f>"1996-07-06"</f>
        <v>1996-07-06</v>
      </c>
      <c r="G1415" s="9"/>
    </row>
    <row r="1416" spans="1:7" ht="13.5">
      <c r="A1416" s="7">
        <v>1414</v>
      </c>
      <c r="B1416" s="8" t="str">
        <f>"2341202009062215531860"</f>
        <v>2341202009062215531860</v>
      </c>
      <c r="C1416" s="8" t="s">
        <v>9</v>
      </c>
      <c r="D1416" s="8" t="str">
        <f>"黄琳琳"</f>
        <v>黄琳琳</v>
      </c>
      <c r="E1416" s="8" t="str">
        <f t="shared" si="57"/>
        <v>女</v>
      </c>
      <c r="F1416" s="8" t="str">
        <f>"1995-11-02"</f>
        <v>1995-11-02</v>
      </c>
      <c r="G1416" s="9"/>
    </row>
    <row r="1417" spans="1:7" ht="13.5">
      <c r="A1417" s="7">
        <v>1415</v>
      </c>
      <c r="B1417" s="8" t="str">
        <f>"2341202009062236401861"</f>
        <v>2341202009062236401861</v>
      </c>
      <c r="C1417" s="8" t="s">
        <v>9</v>
      </c>
      <c r="D1417" s="8" t="str">
        <f>"冯海银"</f>
        <v>冯海银</v>
      </c>
      <c r="E1417" s="8" t="str">
        <f t="shared" si="57"/>
        <v>女</v>
      </c>
      <c r="F1417" s="8" t="str">
        <f>"1995-01-17"</f>
        <v>1995-01-17</v>
      </c>
      <c r="G1417" s="9"/>
    </row>
    <row r="1418" spans="1:7" ht="13.5">
      <c r="A1418" s="7">
        <v>1416</v>
      </c>
      <c r="B1418" s="8" t="str">
        <f>"2341202009062249371862"</f>
        <v>2341202009062249371862</v>
      </c>
      <c r="C1418" s="8" t="s">
        <v>9</v>
      </c>
      <c r="D1418" s="8" t="str">
        <f>"吉世立"</f>
        <v>吉世立</v>
      </c>
      <c r="E1418" s="8" t="str">
        <f>"男"</f>
        <v>男</v>
      </c>
      <c r="F1418" s="8" t="str">
        <f>"1994-07-02"</f>
        <v>1994-07-02</v>
      </c>
      <c r="G1418" s="9"/>
    </row>
    <row r="1419" spans="1:7" ht="13.5">
      <c r="A1419" s="7">
        <v>1417</v>
      </c>
      <c r="B1419" s="8" t="str">
        <f>"2341202009062257321863"</f>
        <v>2341202009062257321863</v>
      </c>
      <c r="C1419" s="8" t="s">
        <v>9</v>
      </c>
      <c r="D1419" s="8" t="str">
        <f>"郑永婷"</f>
        <v>郑永婷</v>
      </c>
      <c r="E1419" s="8" t="str">
        <f aca="true" t="shared" si="58" ref="E1419:E1426">"女"</f>
        <v>女</v>
      </c>
      <c r="F1419" s="8" t="str">
        <f>"1992-07-25"</f>
        <v>1992-07-25</v>
      </c>
      <c r="G1419" s="9"/>
    </row>
    <row r="1420" spans="1:7" ht="13.5">
      <c r="A1420" s="7">
        <v>1418</v>
      </c>
      <c r="B1420" s="8" t="str">
        <f>"2341202009062336531865"</f>
        <v>2341202009062336531865</v>
      </c>
      <c r="C1420" s="8" t="s">
        <v>9</v>
      </c>
      <c r="D1420" s="8" t="str">
        <f>"郑丽凡"</f>
        <v>郑丽凡</v>
      </c>
      <c r="E1420" s="8" t="str">
        <f t="shared" si="58"/>
        <v>女</v>
      </c>
      <c r="F1420" s="8" t="str">
        <f>"1993-12-24"</f>
        <v>1993-12-24</v>
      </c>
      <c r="G1420" s="9"/>
    </row>
    <row r="1421" spans="1:7" ht="13.5">
      <c r="A1421" s="7">
        <v>1419</v>
      </c>
      <c r="B1421" s="8" t="str">
        <f>"2341202009062340451868"</f>
        <v>2341202009062340451868</v>
      </c>
      <c r="C1421" s="8" t="s">
        <v>9</v>
      </c>
      <c r="D1421" s="8" t="str">
        <f>"张雪"</f>
        <v>张雪</v>
      </c>
      <c r="E1421" s="8" t="str">
        <f t="shared" si="58"/>
        <v>女</v>
      </c>
      <c r="F1421" s="8" t="str">
        <f>"1994-07-18"</f>
        <v>1994-07-18</v>
      </c>
      <c r="G1421" s="9"/>
    </row>
    <row r="1422" spans="1:7" ht="13.5">
      <c r="A1422" s="7">
        <v>1420</v>
      </c>
      <c r="B1422" s="8" t="str">
        <f>"2341202009070028151870"</f>
        <v>2341202009070028151870</v>
      </c>
      <c r="C1422" s="8" t="s">
        <v>9</v>
      </c>
      <c r="D1422" s="8" t="str">
        <f>"翁诗瑜"</f>
        <v>翁诗瑜</v>
      </c>
      <c r="E1422" s="8" t="str">
        <f t="shared" si="58"/>
        <v>女</v>
      </c>
      <c r="F1422" s="8" t="str">
        <f>"1991-06-02"</f>
        <v>1991-06-02</v>
      </c>
      <c r="G1422" s="9"/>
    </row>
    <row r="1423" spans="1:7" ht="13.5">
      <c r="A1423" s="7">
        <v>1421</v>
      </c>
      <c r="B1423" s="8" t="str">
        <f>"2341202009070836141878"</f>
        <v>2341202009070836141878</v>
      </c>
      <c r="C1423" s="8" t="s">
        <v>9</v>
      </c>
      <c r="D1423" s="8" t="str">
        <f>"谢伟春"</f>
        <v>谢伟春</v>
      </c>
      <c r="E1423" s="8" t="str">
        <f t="shared" si="58"/>
        <v>女</v>
      </c>
      <c r="F1423" s="8" t="str">
        <f>"1992-10-17"</f>
        <v>1992-10-17</v>
      </c>
      <c r="G1423" s="9"/>
    </row>
    <row r="1424" spans="1:7" ht="13.5">
      <c r="A1424" s="7">
        <v>1422</v>
      </c>
      <c r="B1424" s="8" t="str">
        <f>"2341202009070857431882"</f>
        <v>2341202009070857431882</v>
      </c>
      <c r="C1424" s="8" t="s">
        <v>9</v>
      </c>
      <c r="D1424" s="8" t="str">
        <f>"吴春妮"</f>
        <v>吴春妮</v>
      </c>
      <c r="E1424" s="8" t="str">
        <f t="shared" si="58"/>
        <v>女</v>
      </c>
      <c r="F1424" s="8" t="str">
        <f>"1991-10-05"</f>
        <v>1991-10-05</v>
      </c>
      <c r="G1424" s="9"/>
    </row>
    <row r="1425" spans="1:7" ht="13.5">
      <c r="A1425" s="7">
        <v>1423</v>
      </c>
      <c r="B1425" s="8" t="str">
        <f>"2341202009070922371888"</f>
        <v>2341202009070922371888</v>
      </c>
      <c r="C1425" s="8" t="s">
        <v>9</v>
      </c>
      <c r="D1425" s="8" t="str">
        <f>"王桂香"</f>
        <v>王桂香</v>
      </c>
      <c r="E1425" s="8" t="str">
        <f t="shared" si="58"/>
        <v>女</v>
      </c>
      <c r="F1425" s="8" t="str">
        <f>"1995-02-04"</f>
        <v>1995-02-04</v>
      </c>
      <c r="G1425" s="9"/>
    </row>
    <row r="1426" spans="1:7" ht="13.5">
      <c r="A1426" s="7">
        <v>1424</v>
      </c>
      <c r="B1426" s="8" t="str">
        <f>"2341202009070944581895"</f>
        <v>2341202009070944581895</v>
      </c>
      <c r="C1426" s="8" t="s">
        <v>9</v>
      </c>
      <c r="D1426" s="8" t="str">
        <f>"张文琳"</f>
        <v>张文琳</v>
      </c>
      <c r="E1426" s="8" t="str">
        <f t="shared" si="58"/>
        <v>女</v>
      </c>
      <c r="F1426" s="8" t="str">
        <f>"1993-05-01"</f>
        <v>1993-05-01</v>
      </c>
      <c r="G1426" s="9"/>
    </row>
    <row r="1427" spans="1:7" ht="13.5">
      <c r="A1427" s="7">
        <v>1425</v>
      </c>
      <c r="B1427" s="8" t="str">
        <f>"2341202009071036461907"</f>
        <v>2341202009071036461907</v>
      </c>
      <c r="C1427" s="8" t="s">
        <v>9</v>
      </c>
      <c r="D1427" s="8" t="str">
        <f>"李厚先"</f>
        <v>李厚先</v>
      </c>
      <c r="E1427" s="8" t="str">
        <f>"男"</f>
        <v>男</v>
      </c>
      <c r="F1427" s="8" t="str">
        <f>"1991-07-11"</f>
        <v>1991-07-11</v>
      </c>
      <c r="G1427" s="9"/>
    </row>
    <row r="1428" spans="1:7" ht="13.5">
      <c r="A1428" s="7">
        <v>1426</v>
      </c>
      <c r="B1428" s="8" t="str">
        <f>"2341202009071116521917"</f>
        <v>2341202009071116521917</v>
      </c>
      <c r="C1428" s="8" t="s">
        <v>9</v>
      </c>
      <c r="D1428" s="8" t="str">
        <f>"林保暖"</f>
        <v>林保暖</v>
      </c>
      <c r="E1428" s="8" t="str">
        <f>"女"</f>
        <v>女</v>
      </c>
      <c r="F1428" s="8" t="str">
        <f>"1993-02-08"</f>
        <v>1993-02-08</v>
      </c>
      <c r="G1428" s="9"/>
    </row>
    <row r="1429" spans="1:7" ht="13.5">
      <c r="A1429" s="7">
        <v>1427</v>
      </c>
      <c r="B1429" s="8" t="str">
        <f>"2341202009071136331921"</f>
        <v>2341202009071136331921</v>
      </c>
      <c r="C1429" s="8" t="s">
        <v>9</v>
      </c>
      <c r="D1429" s="8" t="str">
        <f>"石春果"</f>
        <v>石春果</v>
      </c>
      <c r="E1429" s="8" t="str">
        <f>"女"</f>
        <v>女</v>
      </c>
      <c r="F1429" s="8" t="str">
        <f>"1989-03-27"</f>
        <v>1989-03-27</v>
      </c>
      <c r="G1429" s="9"/>
    </row>
    <row r="1430" spans="1:7" ht="13.5">
      <c r="A1430" s="7">
        <v>1428</v>
      </c>
      <c r="B1430" s="8" t="str">
        <f>"2341202009071141121922"</f>
        <v>2341202009071141121922</v>
      </c>
      <c r="C1430" s="8" t="s">
        <v>9</v>
      </c>
      <c r="D1430" s="8" t="str">
        <f>"张珊珊"</f>
        <v>张珊珊</v>
      </c>
      <c r="E1430" s="8" t="str">
        <f>"女"</f>
        <v>女</v>
      </c>
      <c r="F1430" s="8" t="str">
        <f>"1995-01-15"</f>
        <v>1995-01-15</v>
      </c>
      <c r="G1430" s="9"/>
    </row>
    <row r="1431" spans="1:7" ht="13.5">
      <c r="A1431" s="7">
        <v>1429</v>
      </c>
      <c r="B1431" s="8" t="str">
        <f>"2341202009071151501924"</f>
        <v>2341202009071151501924</v>
      </c>
      <c r="C1431" s="8" t="s">
        <v>9</v>
      </c>
      <c r="D1431" s="8" t="str">
        <f>"林惠"</f>
        <v>林惠</v>
      </c>
      <c r="E1431" s="8" t="str">
        <f>"女"</f>
        <v>女</v>
      </c>
      <c r="F1431" s="8" t="str">
        <f>"1996-07-14"</f>
        <v>1996-07-14</v>
      </c>
      <c r="G1431" s="9"/>
    </row>
    <row r="1432" spans="1:7" ht="13.5">
      <c r="A1432" s="7">
        <v>1430</v>
      </c>
      <c r="B1432" s="8" t="str">
        <f>"2341202009071157271925"</f>
        <v>2341202009071157271925</v>
      </c>
      <c r="C1432" s="8" t="s">
        <v>9</v>
      </c>
      <c r="D1432" s="8" t="str">
        <f>"黄成家"</f>
        <v>黄成家</v>
      </c>
      <c r="E1432" s="8" t="str">
        <f>"男"</f>
        <v>男</v>
      </c>
      <c r="F1432" s="8" t="str">
        <f>"1986-10-12"</f>
        <v>1986-10-12</v>
      </c>
      <c r="G1432" s="9"/>
    </row>
    <row r="1433" spans="1:7" ht="13.5">
      <c r="A1433" s="7">
        <v>1431</v>
      </c>
      <c r="B1433" s="8" t="str">
        <f>"2341202009071207531927"</f>
        <v>2341202009071207531927</v>
      </c>
      <c r="C1433" s="8" t="s">
        <v>9</v>
      </c>
      <c r="D1433" s="8" t="str">
        <f>"许艳霞"</f>
        <v>许艳霞</v>
      </c>
      <c r="E1433" s="8" t="str">
        <f aca="true" t="shared" si="59" ref="E1433:E1468">"女"</f>
        <v>女</v>
      </c>
      <c r="F1433" s="8" t="str">
        <f>"1991-02-12"</f>
        <v>1991-02-12</v>
      </c>
      <c r="G1433" s="9"/>
    </row>
    <row r="1434" spans="1:7" ht="13.5">
      <c r="A1434" s="7">
        <v>1432</v>
      </c>
      <c r="B1434" s="8" t="str">
        <f>"2341202009071220481930"</f>
        <v>2341202009071220481930</v>
      </c>
      <c r="C1434" s="8" t="s">
        <v>9</v>
      </c>
      <c r="D1434" s="8" t="str">
        <f>"黎姿"</f>
        <v>黎姿</v>
      </c>
      <c r="E1434" s="8" t="str">
        <f t="shared" si="59"/>
        <v>女</v>
      </c>
      <c r="F1434" s="8" t="str">
        <f>"1995-02-12"</f>
        <v>1995-02-12</v>
      </c>
      <c r="G1434" s="9"/>
    </row>
    <row r="1435" spans="1:7" ht="13.5">
      <c r="A1435" s="7">
        <v>1433</v>
      </c>
      <c r="B1435" s="8" t="str">
        <f>"2341202009071246571933"</f>
        <v>2341202009071246571933</v>
      </c>
      <c r="C1435" s="8" t="s">
        <v>9</v>
      </c>
      <c r="D1435" s="8" t="str">
        <f>"吴贵美"</f>
        <v>吴贵美</v>
      </c>
      <c r="E1435" s="8" t="str">
        <f t="shared" si="59"/>
        <v>女</v>
      </c>
      <c r="F1435" s="8" t="str">
        <f>"1991-08-27"</f>
        <v>1991-08-27</v>
      </c>
      <c r="G1435" s="9"/>
    </row>
    <row r="1436" spans="1:7" ht="13.5">
      <c r="A1436" s="7">
        <v>1434</v>
      </c>
      <c r="B1436" s="8" t="str">
        <f>"2341202009071309361939"</f>
        <v>2341202009071309361939</v>
      </c>
      <c r="C1436" s="8" t="s">
        <v>9</v>
      </c>
      <c r="D1436" s="8" t="str">
        <f>"李艳萍"</f>
        <v>李艳萍</v>
      </c>
      <c r="E1436" s="8" t="str">
        <f t="shared" si="59"/>
        <v>女</v>
      </c>
      <c r="F1436" s="8" t="str">
        <f>"1994-10-05"</f>
        <v>1994-10-05</v>
      </c>
      <c r="G1436" s="9"/>
    </row>
    <row r="1437" spans="1:7" ht="13.5">
      <c r="A1437" s="7">
        <v>1435</v>
      </c>
      <c r="B1437" s="8" t="str">
        <f>"2341202009071408351947"</f>
        <v>2341202009071408351947</v>
      </c>
      <c r="C1437" s="8" t="s">
        <v>9</v>
      </c>
      <c r="D1437" s="8" t="str">
        <f>"曾常凤"</f>
        <v>曾常凤</v>
      </c>
      <c r="E1437" s="8" t="str">
        <f t="shared" si="59"/>
        <v>女</v>
      </c>
      <c r="F1437" s="8" t="str">
        <f>"1997-11-13"</f>
        <v>1997-11-13</v>
      </c>
      <c r="G1437" s="9"/>
    </row>
    <row r="1438" spans="1:7" ht="13.5">
      <c r="A1438" s="7">
        <v>1436</v>
      </c>
      <c r="B1438" s="8" t="str">
        <f>"2341202009071522011958"</f>
        <v>2341202009071522011958</v>
      </c>
      <c r="C1438" s="8" t="s">
        <v>9</v>
      </c>
      <c r="D1438" s="8" t="str">
        <f>"吴带竹"</f>
        <v>吴带竹</v>
      </c>
      <c r="E1438" s="8" t="str">
        <f t="shared" si="59"/>
        <v>女</v>
      </c>
      <c r="F1438" s="8" t="str">
        <f>"1996-10-23"</f>
        <v>1996-10-23</v>
      </c>
      <c r="G1438" s="9"/>
    </row>
    <row r="1439" spans="1:7" ht="13.5">
      <c r="A1439" s="7">
        <v>1437</v>
      </c>
      <c r="B1439" s="8" t="str">
        <f>"2341202009071525381959"</f>
        <v>2341202009071525381959</v>
      </c>
      <c r="C1439" s="8" t="s">
        <v>9</v>
      </c>
      <c r="D1439" s="8" t="str">
        <f>"符克意"</f>
        <v>符克意</v>
      </c>
      <c r="E1439" s="8" t="str">
        <f t="shared" si="59"/>
        <v>女</v>
      </c>
      <c r="F1439" s="8" t="str">
        <f>"1989-05-04"</f>
        <v>1989-05-04</v>
      </c>
      <c r="G1439" s="9"/>
    </row>
    <row r="1440" spans="1:7" ht="13.5">
      <c r="A1440" s="7">
        <v>1438</v>
      </c>
      <c r="B1440" s="8" t="str">
        <f>"2341202009071614501968"</f>
        <v>2341202009071614501968</v>
      </c>
      <c r="C1440" s="8" t="s">
        <v>9</v>
      </c>
      <c r="D1440" s="8" t="str">
        <f>"梁秀美"</f>
        <v>梁秀美</v>
      </c>
      <c r="E1440" s="8" t="str">
        <f t="shared" si="59"/>
        <v>女</v>
      </c>
      <c r="F1440" s="8" t="str">
        <f>"1996-11-02"</f>
        <v>1996-11-02</v>
      </c>
      <c r="G1440" s="9"/>
    </row>
    <row r="1441" spans="1:7" ht="13.5">
      <c r="A1441" s="7">
        <v>1439</v>
      </c>
      <c r="B1441" s="8" t="str">
        <f>"2341202009071617061969"</f>
        <v>2341202009071617061969</v>
      </c>
      <c r="C1441" s="8" t="s">
        <v>9</v>
      </c>
      <c r="D1441" s="8" t="str">
        <f>"林姑"</f>
        <v>林姑</v>
      </c>
      <c r="E1441" s="8" t="str">
        <f t="shared" si="59"/>
        <v>女</v>
      </c>
      <c r="F1441" s="8" t="str">
        <f>"1996-11-08"</f>
        <v>1996-11-08</v>
      </c>
      <c r="G1441" s="9"/>
    </row>
    <row r="1442" spans="1:7" ht="13.5">
      <c r="A1442" s="7">
        <v>1440</v>
      </c>
      <c r="B1442" s="8" t="str">
        <f>"2341202009071620491970"</f>
        <v>2341202009071620491970</v>
      </c>
      <c r="C1442" s="8" t="s">
        <v>9</v>
      </c>
      <c r="D1442" s="8" t="str">
        <f>"文艳虹"</f>
        <v>文艳虹</v>
      </c>
      <c r="E1442" s="8" t="str">
        <f t="shared" si="59"/>
        <v>女</v>
      </c>
      <c r="F1442" s="8" t="str">
        <f>"1996-07-18"</f>
        <v>1996-07-18</v>
      </c>
      <c r="G1442" s="9"/>
    </row>
    <row r="1443" spans="1:7" ht="13.5">
      <c r="A1443" s="7">
        <v>1441</v>
      </c>
      <c r="B1443" s="8" t="str">
        <f>"2341202009071709361977"</f>
        <v>2341202009071709361977</v>
      </c>
      <c r="C1443" s="8" t="s">
        <v>9</v>
      </c>
      <c r="D1443" s="8" t="str">
        <f>"林绿"</f>
        <v>林绿</v>
      </c>
      <c r="E1443" s="8" t="str">
        <f t="shared" si="59"/>
        <v>女</v>
      </c>
      <c r="F1443" s="8" t="str">
        <f>"1990-12-03"</f>
        <v>1990-12-03</v>
      </c>
      <c r="G1443" s="9"/>
    </row>
    <row r="1444" spans="1:7" ht="13.5">
      <c r="A1444" s="7">
        <v>1442</v>
      </c>
      <c r="B1444" s="8" t="str">
        <f>"2341202009071724181980"</f>
        <v>2341202009071724181980</v>
      </c>
      <c r="C1444" s="8" t="s">
        <v>9</v>
      </c>
      <c r="D1444" s="8" t="str">
        <f>"许秀靖"</f>
        <v>许秀靖</v>
      </c>
      <c r="E1444" s="8" t="str">
        <f t="shared" si="59"/>
        <v>女</v>
      </c>
      <c r="F1444" s="8" t="str">
        <f>"1995-04-26"</f>
        <v>1995-04-26</v>
      </c>
      <c r="G1444" s="9"/>
    </row>
    <row r="1445" spans="1:7" ht="13.5">
      <c r="A1445" s="7">
        <v>1443</v>
      </c>
      <c r="B1445" s="8" t="str">
        <f>"2341202009071724471981"</f>
        <v>2341202009071724471981</v>
      </c>
      <c r="C1445" s="8" t="s">
        <v>9</v>
      </c>
      <c r="D1445" s="8" t="str">
        <f>"王汝莉"</f>
        <v>王汝莉</v>
      </c>
      <c r="E1445" s="8" t="str">
        <f t="shared" si="59"/>
        <v>女</v>
      </c>
      <c r="F1445" s="8" t="str">
        <f>"1994-08-24"</f>
        <v>1994-08-24</v>
      </c>
      <c r="G1445" s="9"/>
    </row>
    <row r="1446" spans="1:7" ht="13.5">
      <c r="A1446" s="7">
        <v>1444</v>
      </c>
      <c r="B1446" s="8" t="str">
        <f>"2341202009071732131983"</f>
        <v>2341202009071732131983</v>
      </c>
      <c r="C1446" s="8" t="s">
        <v>9</v>
      </c>
      <c r="D1446" s="8" t="str">
        <f>" 陈春平"</f>
        <v> 陈春平</v>
      </c>
      <c r="E1446" s="8" t="str">
        <f t="shared" si="59"/>
        <v>女</v>
      </c>
      <c r="F1446" s="8" t="str">
        <f>"1991-09-11"</f>
        <v>1991-09-11</v>
      </c>
      <c r="G1446" s="9"/>
    </row>
    <row r="1447" spans="1:7" ht="13.5">
      <c r="A1447" s="7">
        <v>1445</v>
      </c>
      <c r="B1447" s="8" t="str">
        <f>"2341202009071747101986"</f>
        <v>2341202009071747101986</v>
      </c>
      <c r="C1447" s="8" t="s">
        <v>9</v>
      </c>
      <c r="D1447" s="8" t="str">
        <f>"庄彩虹"</f>
        <v>庄彩虹</v>
      </c>
      <c r="E1447" s="8" t="str">
        <f t="shared" si="59"/>
        <v>女</v>
      </c>
      <c r="F1447" s="8" t="str">
        <f>"1997-05-05"</f>
        <v>1997-05-05</v>
      </c>
      <c r="G1447" s="9"/>
    </row>
    <row r="1448" spans="1:7" ht="13.5">
      <c r="A1448" s="7">
        <v>1446</v>
      </c>
      <c r="B1448" s="8" t="str">
        <f>"2341202009071804271988"</f>
        <v>2341202009071804271988</v>
      </c>
      <c r="C1448" s="8" t="s">
        <v>9</v>
      </c>
      <c r="D1448" s="8" t="str">
        <f>"陈宏莲"</f>
        <v>陈宏莲</v>
      </c>
      <c r="E1448" s="8" t="str">
        <f t="shared" si="59"/>
        <v>女</v>
      </c>
      <c r="F1448" s="8" t="str">
        <f>"1997-10-13"</f>
        <v>1997-10-13</v>
      </c>
      <c r="G1448" s="9"/>
    </row>
    <row r="1449" spans="1:7" ht="13.5">
      <c r="A1449" s="7">
        <v>1447</v>
      </c>
      <c r="B1449" s="8" t="str">
        <f>"2341202009071823481993"</f>
        <v>2341202009071823481993</v>
      </c>
      <c r="C1449" s="8" t="s">
        <v>9</v>
      </c>
      <c r="D1449" s="8" t="str">
        <f>"陈琼"</f>
        <v>陈琼</v>
      </c>
      <c r="E1449" s="8" t="str">
        <f t="shared" si="59"/>
        <v>女</v>
      </c>
      <c r="F1449" s="8" t="str">
        <f>"1998-05-28"</f>
        <v>1998-05-28</v>
      </c>
      <c r="G1449" s="9"/>
    </row>
    <row r="1450" spans="1:7" ht="13.5">
      <c r="A1450" s="7">
        <v>1448</v>
      </c>
      <c r="B1450" s="8" t="str">
        <f>"2341202009071925131998"</f>
        <v>2341202009071925131998</v>
      </c>
      <c r="C1450" s="8" t="s">
        <v>9</v>
      </c>
      <c r="D1450" s="8" t="str">
        <f>"林冰冰"</f>
        <v>林冰冰</v>
      </c>
      <c r="E1450" s="8" t="str">
        <f t="shared" si="59"/>
        <v>女</v>
      </c>
      <c r="F1450" s="8" t="str">
        <f>"1996-10-10"</f>
        <v>1996-10-10</v>
      </c>
      <c r="G1450" s="9"/>
    </row>
    <row r="1451" spans="1:7" ht="13.5">
      <c r="A1451" s="7">
        <v>1449</v>
      </c>
      <c r="B1451" s="8" t="str">
        <f>"2341202009072000532003"</f>
        <v>2341202009072000532003</v>
      </c>
      <c r="C1451" s="8" t="s">
        <v>9</v>
      </c>
      <c r="D1451" s="8" t="str">
        <f>"许梦珍"</f>
        <v>许梦珍</v>
      </c>
      <c r="E1451" s="8" t="str">
        <f t="shared" si="59"/>
        <v>女</v>
      </c>
      <c r="F1451" s="8" t="str">
        <f>"1996-08-23"</f>
        <v>1996-08-23</v>
      </c>
      <c r="G1451" s="9"/>
    </row>
    <row r="1452" spans="1:7" ht="13.5">
      <c r="A1452" s="7">
        <v>1450</v>
      </c>
      <c r="B1452" s="8" t="str">
        <f>"2341202009072004162004"</f>
        <v>2341202009072004162004</v>
      </c>
      <c r="C1452" s="8" t="s">
        <v>9</v>
      </c>
      <c r="D1452" s="8" t="str">
        <f>"李雪晶"</f>
        <v>李雪晶</v>
      </c>
      <c r="E1452" s="8" t="str">
        <f t="shared" si="59"/>
        <v>女</v>
      </c>
      <c r="F1452" s="8" t="str">
        <f>"1992-02-03"</f>
        <v>1992-02-03</v>
      </c>
      <c r="G1452" s="9"/>
    </row>
    <row r="1453" spans="1:7" ht="13.5">
      <c r="A1453" s="7">
        <v>1451</v>
      </c>
      <c r="B1453" s="8" t="str">
        <f>"2341202009072032242010"</f>
        <v>2341202009072032242010</v>
      </c>
      <c r="C1453" s="8" t="s">
        <v>9</v>
      </c>
      <c r="D1453" s="8" t="str">
        <f>"陈丽香"</f>
        <v>陈丽香</v>
      </c>
      <c r="E1453" s="8" t="str">
        <f t="shared" si="59"/>
        <v>女</v>
      </c>
      <c r="F1453" s="8" t="str">
        <f>"1988-08-17"</f>
        <v>1988-08-17</v>
      </c>
      <c r="G1453" s="9"/>
    </row>
    <row r="1454" spans="1:7" ht="13.5">
      <c r="A1454" s="7">
        <v>1452</v>
      </c>
      <c r="B1454" s="8" t="str">
        <f>"2341202009072054482017"</f>
        <v>2341202009072054482017</v>
      </c>
      <c r="C1454" s="8" t="s">
        <v>9</v>
      </c>
      <c r="D1454" s="8" t="str">
        <f>"林秋怡"</f>
        <v>林秋怡</v>
      </c>
      <c r="E1454" s="8" t="str">
        <f t="shared" si="59"/>
        <v>女</v>
      </c>
      <c r="F1454" s="8" t="str">
        <f>"1998-06-10"</f>
        <v>1998-06-10</v>
      </c>
      <c r="G1454" s="9"/>
    </row>
    <row r="1455" spans="1:7" ht="13.5">
      <c r="A1455" s="7">
        <v>1453</v>
      </c>
      <c r="B1455" s="8" t="str">
        <f>"2341202009072102282019"</f>
        <v>2341202009072102282019</v>
      </c>
      <c r="C1455" s="8" t="s">
        <v>9</v>
      </c>
      <c r="D1455" s="8" t="str">
        <f>"吴光纯"</f>
        <v>吴光纯</v>
      </c>
      <c r="E1455" s="8" t="str">
        <f t="shared" si="59"/>
        <v>女</v>
      </c>
      <c r="F1455" s="8" t="str">
        <f>"1993-10-09"</f>
        <v>1993-10-09</v>
      </c>
      <c r="G1455" s="9"/>
    </row>
    <row r="1456" spans="1:7" ht="13.5">
      <c r="A1456" s="7">
        <v>1454</v>
      </c>
      <c r="B1456" s="8" t="str">
        <f>"2341202009072257162030"</f>
        <v>2341202009072257162030</v>
      </c>
      <c r="C1456" s="8" t="s">
        <v>9</v>
      </c>
      <c r="D1456" s="8" t="str">
        <f>"徐盼盼"</f>
        <v>徐盼盼</v>
      </c>
      <c r="E1456" s="8" t="str">
        <f t="shared" si="59"/>
        <v>女</v>
      </c>
      <c r="F1456" s="8" t="str">
        <f>"1989-12-12"</f>
        <v>1989-12-12</v>
      </c>
      <c r="G1456" s="9"/>
    </row>
    <row r="1457" spans="1:7" ht="13.5">
      <c r="A1457" s="7">
        <v>1455</v>
      </c>
      <c r="B1457" s="8" t="str">
        <f>"2341202009072310402031"</f>
        <v>2341202009072310402031</v>
      </c>
      <c r="C1457" s="8" t="s">
        <v>9</v>
      </c>
      <c r="D1457" s="8" t="str">
        <f>"文香菲"</f>
        <v>文香菲</v>
      </c>
      <c r="E1457" s="8" t="str">
        <f t="shared" si="59"/>
        <v>女</v>
      </c>
      <c r="F1457" s="8" t="str">
        <f>"1996-02-18"</f>
        <v>1996-02-18</v>
      </c>
      <c r="G1457" s="9"/>
    </row>
    <row r="1458" spans="1:7" ht="13.5">
      <c r="A1458" s="7">
        <v>1456</v>
      </c>
      <c r="B1458" s="8" t="str">
        <f>"2341202009072314262032"</f>
        <v>2341202009072314262032</v>
      </c>
      <c r="C1458" s="8" t="s">
        <v>9</v>
      </c>
      <c r="D1458" s="8" t="str">
        <f>"赖美圆"</f>
        <v>赖美圆</v>
      </c>
      <c r="E1458" s="8" t="str">
        <f t="shared" si="59"/>
        <v>女</v>
      </c>
      <c r="F1458" s="8" t="str">
        <f>"1990-07-09"</f>
        <v>1990-07-09</v>
      </c>
      <c r="G1458" s="9"/>
    </row>
    <row r="1459" spans="1:7" ht="13.5">
      <c r="A1459" s="7">
        <v>1457</v>
      </c>
      <c r="B1459" s="8" t="str">
        <f>"2341202009072339132033"</f>
        <v>2341202009072339132033</v>
      </c>
      <c r="C1459" s="8" t="s">
        <v>9</v>
      </c>
      <c r="D1459" s="8" t="str">
        <f>"王柔"</f>
        <v>王柔</v>
      </c>
      <c r="E1459" s="8" t="str">
        <f t="shared" si="59"/>
        <v>女</v>
      </c>
      <c r="F1459" s="8" t="str">
        <f>"1994-05-24"</f>
        <v>1994-05-24</v>
      </c>
      <c r="G1459" s="9"/>
    </row>
    <row r="1460" spans="1:7" ht="13.5">
      <c r="A1460" s="7">
        <v>1458</v>
      </c>
      <c r="B1460" s="8" t="str">
        <f>"2341202009080848302039"</f>
        <v>2341202009080848302039</v>
      </c>
      <c r="C1460" s="8" t="s">
        <v>9</v>
      </c>
      <c r="D1460" s="8" t="str">
        <f>"邢楠楠"</f>
        <v>邢楠楠</v>
      </c>
      <c r="E1460" s="8" t="str">
        <f t="shared" si="59"/>
        <v>女</v>
      </c>
      <c r="F1460" s="8" t="str">
        <f>"1994-02-17"</f>
        <v>1994-02-17</v>
      </c>
      <c r="G1460" s="9"/>
    </row>
    <row r="1461" spans="1:7" ht="13.5">
      <c r="A1461" s="7">
        <v>1459</v>
      </c>
      <c r="B1461" s="8" t="str">
        <f>"2341202009080853492040"</f>
        <v>2341202009080853492040</v>
      </c>
      <c r="C1461" s="8" t="s">
        <v>9</v>
      </c>
      <c r="D1461" s="8" t="str">
        <f>"蔡日兰"</f>
        <v>蔡日兰</v>
      </c>
      <c r="E1461" s="8" t="str">
        <f t="shared" si="59"/>
        <v>女</v>
      </c>
      <c r="F1461" s="8" t="str">
        <f>"1992-10-17"</f>
        <v>1992-10-17</v>
      </c>
      <c r="G1461" s="9"/>
    </row>
    <row r="1462" spans="1:7" ht="13.5">
      <c r="A1462" s="7">
        <v>1460</v>
      </c>
      <c r="B1462" s="8" t="str">
        <f>"2341202009080901522041"</f>
        <v>2341202009080901522041</v>
      </c>
      <c r="C1462" s="8" t="s">
        <v>9</v>
      </c>
      <c r="D1462" s="8" t="str">
        <f>"吴小欣"</f>
        <v>吴小欣</v>
      </c>
      <c r="E1462" s="8" t="str">
        <f t="shared" si="59"/>
        <v>女</v>
      </c>
      <c r="F1462" s="8" t="str">
        <f>"1996-03-28"</f>
        <v>1996-03-28</v>
      </c>
      <c r="G1462" s="9"/>
    </row>
    <row r="1463" spans="1:7" ht="13.5">
      <c r="A1463" s="7">
        <v>1461</v>
      </c>
      <c r="B1463" s="8" t="str">
        <f>"2341202009080917042042"</f>
        <v>2341202009080917042042</v>
      </c>
      <c r="C1463" s="8" t="s">
        <v>9</v>
      </c>
      <c r="D1463" s="8" t="str">
        <f>"苏奕婧"</f>
        <v>苏奕婧</v>
      </c>
      <c r="E1463" s="8" t="str">
        <f t="shared" si="59"/>
        <v>女</v>
      </c>
      <c r="F1463" s="8" t="str">
        <f>"1997-06-12"</f>
        <v>1997-06-12</v>
      </c>
      <c r="G1463" s="9"/>
    </row>
    <row r="1464" spans="1:7" ht="13.5">
      <c r="A1464" s="7">
        <v>1462</v>
      </c>
      <c r="B1464" s="8" t="str">
        <f>"2341202009080952512046"</f>
        <v>2341202009080952512046</v>
      </c>
      <c r="C1464" s="8" t="s">
        <v>9</v>
      </c>
      <c r="D1464" s="8" t="str">
        <f>"高斯婧"</f>
        <v>高斯婧</v>
      </c>
      <c r="E1464" s="8" t="str">
        <f t="shared" si="59"/>
        <v>女</v>
      </c>
      <c r="F1464" s="8" t="str">
        <f>"1986-11-01"</f>
        <v>1986-11-01</v>
      </c>
      <c r="G1464" s="9"/>
    </row>
    <row r="1465" spans="1:7" ht="13.5">
      <c r="A1465" s="7">
        <v>1463</v>
      </c>
      <c r="B1465" s="8" t="str">
        <f>"2341202009081013552049"</f>
        <v>2341202009081013552049</v>
      </c>
      <c r="C1465" s="8" t="s">
        <v>9</v>
      </c>
      <c r="D1465" s="8" t="str">
        <f>"李三梅"</f>
        <v>李三梅</v>
      </c>
      <c r="E1465" s="8" t="str">
        <f t="shared" si="59"/>
        <v>女</v>
      </c>
      <c r="F1465" s="8" t="str">
        <f>"1993-08-14"</f>
        <v>1993-08-14</v>
      </c>
      <c r="G1465" s="9"/>
    </row>
    <row r="1466" spans="1:7" ht="13.5">
      <c r="A1466" s="7">
        <v>1464</v>
      </c>
      <c r="B1466" s="8" t="str">
        <f>"2341202009081046402054"</f>
        <v>2341202009081046402054</v>
      </c>
      <c r="C1466" s="8" t="s">
        <v>9</v>
      </c>
      <c r="D1466" s="8" t="str">
        <f>"王少霞"</f>
        <v>王少霞</v>
      </c>
      <c r="E1466" s="8" t="str">
        <f t="shared" si="59"/>
        <v>女</v>
      </c>
      <c r="F1466" s="8" t="str">
        <f>"1991-08-31"</f>
        <v>1991-08-31</v>
      </c>
      <c r="G1466" s="9"/>
    </row>
    <row r="1467" spans="1:7" ht="13.5">
      <c r="A1467" s="7">
        <v>1465</v>
      </c>
      <c r="B1467" s="8" t="str">
        <f>"2341202009081121152064"</f>
        <v>2341202009081121152064</v>
      </c>
      <c r="C1467" s="8" t="s">
        <v>9</v>
      </c>
      <c r="D1467" s="8" t="str">
        <f>"游莉莉"</f>
        <v>游莉莉</v>
      </c>
      <c r="E1467" s="8" t="str">
        <f t="shared" si="59"/>
        <v>女</v>
      </c>
      <c r="F1467" s="8" t="str">
        <f>"1988-07-14"</f>
        <v>1988-07-14</v>
      </c>
      <c r="G1467" s="9"/>
    </row>
    <row r="1468" spans="1:7" ht="13.5">
      <c r="A1468" s="7">
        <v>1466</v>
      </c>
      <c r="B1468" s="8" t="str">
        <f>"2341202009081130362066"</f>
        <v>2341202009081130362066</v>
      </c>
      <c r="C1468" s="8" t="s">
        <v>9</v>
      </c>
      <c r="D1468" s="8" t="str">
        <f>"吴春萍"</f>
        <v>吴春萍</v>
      </c>
      <c r="E1468" s="8" t="str">
        <f t="shared" si="59"/>
        <v>女</v>
      </c>
      <c r="F1468" s="8" t="str">
        <f>"1997-06-02"</f>
        <v>1997-06-02</v>
      </c>
      <c r="G1468" s="9"/>
    </row>
    <row r="1469" spans="1:7" ht="13.5">
      <c r="A1469" s="7">
        <v>1467</v>
      </c>
      <c r="B1469" s="8" t="str">
        <f>"2341202009081137142067"</f>
        <v>2341202009081137142067</v>
      </c>
      <c r="C1469" s="8" t="s">
        <v>9</v>
      </c>
      <c r="D1469" s="8" t="str">
        <f>"谭金华"</f>
        <v>谭金华</v>
      </c>
      <c r="E1469" s="8" t="str">
        <f>"男"</f>
        <v>男</v>
      </c>
      <c r="F1469" s="8" t="str">
        <f>"1990-08-24"</f>
        <v>1990-08-24</v>
      </c>
      <c r="G1469" s="9"/>
    </row>
    <row r="1470" spans="1:7" ht="13.5">
      <c r="A1470" s="7">
        <v>1468</v>
      </c>
      <c r="B1470" s="8" t="str">
        <f>"2341202009081137532068"</f>
        <v>2341202009081137532068</v>
      </c>
      <c r="C1470" s="8" t="s">
        <v>9</v>
      </c>
      <c r="D1470" s="8" t="str">
        <f>"蔡惠卿"</f>
        <v>蔡惠卿</v>
      </c>
      <c r="E1470" s="8" t="str">
        <f aca="true" t="shared" si="60" ref="E1470:E1482">"女"</f>
        <v>女</v>
      </c>
      <c r="F1470" s="8" t="str">
        <f>"1996-07-15"</f>
        <v>1996-07-15</v>
      </c>
      <c r="G1470" s="9"/>
    </row>
    <row r="1471" spans="1:7" ht="13.5">
      <c r="A1471" s="7">
        <v>1469</v>
      </c>
      <c r="B1471" s="8" t="str">
        <f>"2341202009081214422074"</f>
        <v>2341202009081214422074</v>
      </c>
      <c r="C1471" s="8" t="s">
        <v>9</v>
      </c>
      <c r="D1471" s="8" t="str">
        <f>"王琼丁"</f>
        <v>王琼丁</v>
      </c>
      <c r="E1471" s="8" t="str">
        <f t="shared" si="60"/>
        <v>女</v>
      </c>
      <c r="F1471" s="8" t="str">
        <f>"1989-05-15"</f>
        <v>1989-05-15</v>
      </c>
      <c r="G1471" s="9"/>
    </row>
    <row r="1472" spans="1:7" ht="13.5">
      <c r="A1472" s="7">
        <v>1470</v>
      </c>
      <c r="B1472" s="8" t="str">
        <f>"2341202009081237492076"</f>
        <v>2341202009081237492076</v>
      </c>
      <c r="C1472" s="8" t="s">
        <v>9</v>
      </c>
      <c r="D1472" s="8" t="str">
        <f>"梁小叶"</f>
        <v>梁小叶</v>
      </c>
      <c r="E1472" s="8" t="str">
        <f t="shared" si="60"/>
        <v>女</v>
      </c>
      <c r="F1472" s="8" t="str">
        <f>"1988-05-15"</f>
        <v>1988-05-15</v>
      </c>
      <c r="G1472" s="9"/>
    </row>
    <row r="1473" spans="1:7" ht="13.5">
      <c r="A1473" s="7">
        <v>1471</v>
      </c>
      <c r="B1473" s="8" t="str">
        <f>"2341202009081401272083"</f>
        <v>2341202009081401272083</v>
      </c>
      <c r="C1473" s="8" t="s">
        <v>9</v>
      </c>
      <c r="D1473" s="8" t="str">
        <f>"罗洁"</f>
        <v>罗洁</v>
      </c>
      <c r="E1473" s="8" t="str">
        <f t="shared" si="60"/>
        <v>女</v>
      </c>
      <c r="F1473" s="8" t="str">
        <f>"1998-10-03"</f>
        <v>1998-10-03</v>
      </c>
      <c r="G1473" s="9"/>
    </row>
    <row r="1474" spans="1:7" ht="13.5">
      <c r="A1474" s="7">
        <v>1472</v>
      </c>
      <c r="B1474" s="8" t="str">
        <f>"2341202009081447592087"</f>
        <v>2341202009081447592087</v>
      </c>
      <c r="C1474" s="8" t="s">
        <v>9</v>
      </c>
      <c r="D1474" s="8" t="str">
        <f>"吴雪芬"</f>
        <v>吴雪芬</v>
      </c>
      <c r="E1474" s="8" t="str">
        <f t="shared" si="60"/>
        <v>女</v>
      </c>
      <c r="F1474" s="8" t="str">
        <f>"1994-08-12"</f>
        <v>1994-08-12</v>
      </c>
      <c r="G1474" s="9"/>
    </row>
    <row r="1475" spans="1:7" ht="13.5">
      <c r="A1475" s="7">
        <v>1473</v>
      </c>
      <c r="B1475" s="8" t="str">
        <f>"2341202009081458342089"</f>
        <v>2341202009081458342089</v>
      </c>
      <c r="C1475" s="8" t="s">
        <v>9</v>
      </c>
      <c r="D1475" s="8" t="str">
        <f>"王晓颖"</f>
        <v>王晓颖</v>
      </c>
      <c r="E1475" s="8" t="str">
        <f t="shared" si="60"/>
        <v>女</v>
      </c>
      <c r="F1475" s="8" t="str">
        <f>"1996-03-18"</f>
        <v>1996-03-18</v>
      </c>
      <c r="G1475" s="9"/>
    </row>
    <row r="1476" spans="1:7" ht="13.5">
      <c r="A1476" s="7">
        <v>1474</v>
      </c>
      <c r="B1476" s="8" t="str">
        <f>"2341202009081501012090"</f>
        <v>2341202009081501012090</v>
      </c>
      <c r="C1476" s="8" t="s">
        <v>9</v>
      </c>
      <c r="D1476" s="8" t="str">
        <f>"张柠"</f>
        <v>张柠</v>
      </c>
      <c r="E1476" s="8" t="str">
        <f t="shared" si="60"/>
        <v>女</v>
      </c>
      <c r="F1476" s="8" t="str">
        <f>"1997-08-10"</f>
        <v>1997-08-10</v>
      </c>
      <c r="G1476" s="9"/>
    </row>
    <row r="1477" spans="1:7" ht="13.5">
      <c r="A1477" s="7">
        <v>1475</v>
      </c>
      <c r="B1477" s="8" t="str">
        <f>"2341202009081501402091"</f>
        <v>2341202009081501402091</v>
      </c>
      <c r="C1477" s="8" t="s">
        <v>9</v>
      </c>
      <c r="D1477" s="8" t="str">
        <f>"许江"</f>
        <v>许江</v>
      </c>
      <c r="E1477" s="8" t="str">
        <f t="shared" si="60"/>
        <v>女</v>
      </c>
      <c r="F1477" s="8" t="str">
        <f>"1993-04-16"</f>
        <v>1993-04-16</v>
      </c>
      <c r="G1477" s="9"/>
    </row>
    <row r="1478" spans="1:7" ht="13.5">
      <c r="A1478" s="7">
        <v>1476</v>
      </c>
      <c r="B1478" s="8" t="str">
        <f>"2341202009081505062092"</f>
        <v>2341202009081505062092</v>
      </c>
      <c r="C1478" s="8" t="s">
        <v>9</v>
      </c>
      <c r="D1478" s="8" t="str">
        <f>"黄日春"</f>
        <v>黄日春</v>
      </c>
      <c r="E1478" s="8" t="str">
        <f t="shared" si="60"/>
        <v>女</v>
      </c>
      <c r="F1478" s="8" t="str">
        <f>"1993-12-02"</f>
        <v>1993-12-02</v>
      </c>
      <c r="G1478" s="9"/>
    </row>
    <row r="1479" spans="1:7" ht="13.5">
      <c r="A1479" s="7">
        <v>1477</v>
      </c>
      <c r="B1479" s="8" t="str">
        <f>"2341202009081507342093"</f>
        <v>2341202009081507342093</v>
      </c>
      <c r="C1479" s="8" t="s">
        <v>9</v>
      </c>
      <c r="D1479" s="8" t="str">
        <f>"蔡燕萍"</f>
        <v>蔡燕萍</v>
      </c>
      <c r="E1479" s="8" t="str">
        <f t="shared" si="60"/>
        <v>女</v>
      </c>
      <c r="F1479" s="8" t="str">
        <f>"1995-01-29"</f>
        <v>1995-01-29</v>
      </c>
      <c r="G1479" s="9"/>
    </row>
    <row r="1480" spans="1:7" ht="13.5">
      <c r="A1480" s="7">
        <v>1478</v>
      </c>
      <c r="B1480" s="8" t="str">
        <f>"2341202009081519282095"</f>
        <v>2341202009081519282095</v>
      </c>
      <c r="C1480" s="8" t="s">
        <v>9</v>
      </c>
      <c r="D1480" s="8" t="str">
        <f>"陈西凤"</f>
        <v>陈西凤</v>
      </c>
      <c r="E1480" s="8" t="str">
        <f t="shared" si="60"/>
        <v>女</v>
      </c>
      <c r="F1480" s="8" t="str">
        <f>"1996-05-12"</f>
        <v>1996-05-12</v>
      </c>
      <c r="G1480" s="9"/>
    </row>
    <row r="1481" spans="1:7" ht="13.5">
      <c r="A1481" s="7">
        <v>1479</v>
      </c>
      <c r="B1481" s="8" t="str">
        <f>"2341202009081522302096"</f>
        <v>2341202009081522302096</v>
      </c>
      <c r="C1481" s="8" t="s">
        <v>9</v>
      </c>
      <c r="D1481" s="8" t="str">
        <f>"黄燕玲"</f>
        <v>黄燕玲</v>
      </c>
      <c r="E1481" s="8" t="str">
        <f t="shared" si="60"/>
        <v>女</v>
      </c>
      <c r="F1481" s="8" t="str">
        <f>"1989-07-23"</f>
        <v>1989-07-23</v>
      </c>
      <c r="G1481" s="9"/>
    </row>
    <row r="1482" spans="1:7" ht="13.5">
      <c r="A1482" s="7">
        <v>1480</v>
      </c>
      <c r="B1482" s="8" t="str">
        <f>"2341202009081529062099"</f>
        <v>2341202009081529062099</v>
      </c>
      <c r="C1482" s="8" t="s">
        <v>9</v>
      </c>
      <c r="D1482" s="8" t="str">
        <f>"陈善佳"</f>
        <v>陈善佳</v>
      </c>
      <c r="E1482" s="8" t="str">
        <f t="shared" si="60"/>
        <v>女</v>
      </c>
      <c r="F1482" s="8" t="str">
        <f>"1996-06-07"</f>
        <v>1996-06-07</v>
      </c>
      <c r="G1482" s="9"/>
    </row>
    <row r="1483" spans="1:7" ht="13.5">
      <c r="A1483" s="7">
        <v>1481</v>
      </c>
      <c r="B1483" s="8" t="str">
        <f>"2341202009081541132100"</f>
        <v>2341202009081541132100</v>
      </c>
      <c r="C1483" s="8" t="s">
        <v>9</v>
      </c>
      <c r="D1483" s="8" t="str">
        <f>"王仟龙"</f>
        <v>王仟龙</v>
      </c>
      <c r="E1483" s="8" t="str">
        <f>"男"</f>
        <v>男</v>
      </c>
      <c r="F1483" s="8" t="str">
        <f>"1987-03-17"</f>
        <v>1987-03-17</v>
      </c>
      <c r="G1483" s="9"/>
    </row>
    <row r="1484" spans="1:7" ht="13.5">
      <c r="A1484" s="7">
        <v>1482</v>
      </c>
      <c r="B1484" s="8" t="str">
        <f>"2341202009081547222101"</f>
        <v>2341202009081547222101</v>
      </c>
      <c r="C1484" s="8" t="s">
        <v>9</v>
      </c>
      <c r="D1484" s="8" t="str">
        <f>"蔡彩金"</f>
        <v>蔡彩金</v>
      </c>
      <c r="E1484" s="8" t="str">
        <f>"女"</f>
        <v>女</v>
      </c>
      <c r="F1484" s="8" t="str">
        <f>"1994-08-17"</f>
        <v>1994-08-17</v>
      </c>
      <c r="G1484" s="9"/>
    </row>
    <row r="1485" spans="1:7" ht="13.5">
      <c r="A1485" s="7">
        <v>1483</v>
      </c>
      <c r="B1485" s="8" t="str">
        <f>"2341202009081553572103"</f>
        <v>2341202009081553572103</v>
      </c>
      <c r="C1485" s="8" t="s">
        <v>9</v>
      </c>
      <c r="D1485" s="8" t="str">
        <f>"李秋月"</f>
        <v>李秋月</v>
      </c>
      <c r="E1485" s="8" t="str">
        <f>"女"</f>
        <v>女</v>
      </c>
      <c r="F1485" s="8" t="str">
        <f>"1995-07-08"</f>
        <v>1995-07-08</v>
      </c>
      <c r="G1485" s="9"/>
    </row>
    <row r="1486" spans="1:7" ht="13.5">
      <c r="A1486" s="7">
        <v>1484</v>
      </c>
      <c r="B1486" s="8" t="str">
        <f>"2341202009081558002104"</f>
        <v>2341202009081558002104</v>
      </c>
      <c r="C1486" s="8" t="s">
        <v>9</v>
      </c>
      <c r="D1486" s="8" t="str">
        <f>"周新元"</f>
        <v>周新元</v>
      </c>
      <c r="E1486" s="8" t="str">
        <f>"男"</f>
        <v>男</v>
      </c>
      <c r="F1486" s="8" t="str">
        <f>"1991-03-06"</f>
        <v>1991-03-06</v>
      </c>
      <c r="G1486" s="9"/>
    </row>
    <row r="1487" spans="1:7" ht="13.5">
      <c r="A1487" s="7">
        <v>1485</v>
      </c>
      <c r="B1487" s="8" t="str">
        <f>"2341202009081605492105"</f>
        <v>2341202009081605492105</v>
      </c>
      <c r="C1487" s="8" t="s">
        <v>9</v>
      </c>
      <c r="D1487" s="8" t="str">
        <f>"陈彦华"</f>
        <v>陈彦华</v>
      </c>
      <c r="E1487" s="8" t="str">
        <f>"男"</f>
        <v>男</v>
      </c>
      <c r="F1487" s="8" t="str">
        <f>"1985-01-30"</f>
        <v>1985-01-30</v>
      </c>
      <c r="G1487" s="9"/>
    </row>
    <row r="1488" spans="1:7" ht="13.5">
      <c r="A1488" s="7">
        <v>1486</v>
      </c>
      <c r="B1488" s="8" t="str">
        <f>"2341202009081632372114"</f>
        <v>2341202009081632372114</v>
      </c>
      <c r="C1488" s="8" t="s">
        <v>9</v>
      </c>
      <c r="D1488" s="8" t="str">
        <f>"李瑶"</f>
        <v>李瑶</v>
      </c>
      <c r="E1488" s="8" t="str">
        <f aca="true" t="shared" si="61" ref="E1488:E1499">"女"</f>
        <v>女</v>
      </c>
      <c r="F1488" s="8" t="str">
        <f>"1992-06-07"</f>
        <v>1992-06-07</v>
      </c>
      <c r="G1488" s="9"/>
    </row>
    <row r="1489" spans="1:7" ht="13.5">
      <c r="A1489" s="7">
        <v>1487</v>
      </c>
      <c r="B1489" s="8" t="str">
        <f>"2341202009081637092115"</f>
        <v>2341202009081637092115</v>
      </c>
      <c r="C1489" s="8" t="s">
        <v>9</v>
      </c>
      <c r="D1489" s="8" t="str">
        <f>"黄雪润"</f>
        <v>黄雪润</v>
      </c>
      <c r="E1489" s="8" t="str">
        <f t="shared" si="61"/>
        <v>女</v>
      </c>
      <c r="F1489" s="8" t="str">
        <f>"1995-07-13"</f>
        <v>1995-07-13</v>
      </c>
      <c r="G1489" s="9"/>
    </row>
    <row r="1490" spans="1:7" ht="13.5">
      <c r="A1490" s="7">
        <v>1488</v>
      </c>
      <c r="B1490" s="8" t="str">
        <f>"2341202009081703022121"</f>
        <v>2341202009081703022121</v>
      </c>
      <c r="C1490" s="8" t="s">
        <v>9</v>
      </c>
      <c r="D1490" s="8" t="str">
        <f>"邓薇薇"</f>
        <v>邓薇薇</v>
      </c>
      <c r="E1490" s="8" t="str">
        <f t="shared" si="61"/>
        <v>女</v>
      </c>
      <c r="F1490" s="8" t="str">
        <f>"1996-08-13"</f>
        <v>1996-08-13</v>
      </c>
      <c r="G1490" s="9"/>
    </row>
    <row r="1491" spans="1:7" ht="13.5">
      <c r="A1491" s="7">
        <v>1489</v>
      </c>
      <c r="B1491" s="8" t="str">
        <f>"2341202009081729102124"</f>
        <v>2341202009081729102124</v>
      </c>
      <c r="C1491" s="8" t="s">
        <v>9</v>
      </c>
      <c r="D1491" s="8" t="str">
        <f>"傅海星"</f>
        <v>傅海星</v>
      </c>
      <c r="E1491" s="8" t="str">
        <f t="shared" si="61"/>
        <v>女</v>
      </c>
      <c r="F1491" s="8" t="str">
        <f>"1995-09-05"</f>
        <v>1995-09-05</v>
      </c>
      <c r="G1491" s="9"/>
    </row>
    <row r="1492" spans="1:7" ht="13.5">
      <c r="A1492" s="7">
        <v>1490</v>
      </c>
      <c r="B1492" s="8" t="str">
        <f>"2341202009081806132128"</f>
        <v>2341202009081806132128</v>
      </c>
      <c r="C1492" s="8" t="s">
        <v>9</v>
      </c>
      <c r="D1492" s="8" t="str">
        <f>"林明珍"</f>
        <v>林明珍</v>
      </c>
      <c r="E1492" s="8" t="str">
        <f t="shared" si="61"/>
        <v>女</v>
      </c>
      <c r="F1492" s="8" t="str">
        <f>"1996-04-20"</f>
        <v>1996-04-20</v>
      </c>
      <c r="G1492" s="9"/>
    </row>
    <row r="1493" spans="1:7" ht="13.5">
      <c r="A1493" s="7">
        <v>1491</v>
      </c>
      <c r="B1493" s="8" t="str">
        <f>"2341202009081835412133"</f>
        <v>2341202009081835412133</v>
      </c>
      <c r="C1493" s="8" t="s">
        <v>9</v>
      </c>
      <c r="D1493" s="8" t="str">
        <f>"占达星"</f>
        <v>占达星</v>
      </c>
      <c r="E1493" s="8" t="str">
        <f t="shared" si="61"/>
        <v>女</v>
      </c>
      <c r="F1493" s="8" t="str">
        <f>"1993-09-12"</f>
        <v>1993-09-12</v>
      </c>
      <c r="G1493" s="9"/>
    </row>
    <row r="1494" spans="1:7" ht="13.5">
      <c r="A1494" s="7">
        <v>1492</v>
      </c>
      <c r="B1494" s="8" t="str">
        <f>"2341202009081842562134"</f>
        <v>2341202009081842562134</v>
      </c>
      <c r="C1494" s="8" t="s">
        <v>9</v>
      </c>
      <c r="D1494" s="8" t="str">
        <f>"林玉"</f>
        <v>林玉</v>
      </c>
      <c r="E1494" s="8" t="str">
        <f t="shared" si="61"/>
        <v>女</v>
      </c>
      <c r="F1494" s="8" t="str">
        <f>"1997-01-30"</f>
        <v>1997-01-30</v>
      </c>
      <c r="G1494" s="9"/>
    </row>
    <row r="1495" spans="1:7" ht="13.5">
      <c r="A1495" s="7">
        <v>1493</v>
      </c>
      <c r="B1495" s="8" t="str">
        <f>"2341202009081843322135"</f>
        <v>2341202009081843322135</v>
      </c>
      <c r="C1495" s="8" t="s">
        <v>9</v>
      </c>
      <c r="D1495" s="8" t="str">
        <f>"郑传男"</f>
        <v>郑传男</v>
      </c>
      <c r="E1495" s="8" t="str">
        <f t="shared" si="61"/>
        <v>女</v>
      </c>
      <c r="F1495" s="8" t="str">
        <f>"1991-11-12"</f>
        <v>1991-11-12</v>
      </c>
      <c r="G1495" s="9"/>
    </row>
    <row r="1496" spans="1:7" ht="13.5">
      <c r="A1496" s="7">
        <v>1494</v>
      </c>
      <c r="B1496" s="8" t="str">
        <f>"2341202009081858092139"</f>
        <v>2341202009081858092139</v>
      </c>
      <c r="C1496" s="8" t="s">
        <v>9</v>
      </c>
      <c r="D1496" s="8" t="str">
        <f>"李佳慧"</f>
        <v>李佳慧</v>
      </c>
      <c r="E1496" s="8" t="str">
        <f t="shared" si="61"/>
        <v>女</v>
      </c>
      <c r="F1496" s="8" t="str">
        <f>"1998-02-13"</f>
        <v>1998-02-13</v>
      </c>
      <c r="G1496" s="9"/>
    </row>
    <row r="1497" spans="1:7" ht="13.5">
      <c r="A1497" s="7">
        <v>1495</v>
      </c>
      <c r="B1497" s="8" t="str">
        <f>"2341202009081922422140"</f>
        <v>2341202009081922422140</v>
      </c>
      <c r="C1497" s="8" t="s">
        <v>9</v>
      </c>
      <c r="D1497" s="8" t="str">
        <f>"曾玲"</f>
        <v>曾玲</v>
      </c>
      <c r="E1497" s="8" t="str">
        <f t="shared" si="61"/>
        <v>女</v>
      </c>
      <c r="F1497" s="8" t="str">
        <f>"1995-04-10"</f>
        <v>1995-04-10</v>
      </c>
      <c r="G1497" s="9"/>
    </row>
    <row r="1498" spans="1:7" ht="13.5">
      <c r="A1498" s="7">
        <v>1496</v>
      </c>
      <c r="B1498" s="8" t="str">
        <f>"2341202009081923522141"</f>
        <v>2341202009081923522141</v>
      </c>
      <c r="C1498" s="8" t="s">
        <v>9</v>
      </c>
      <c r="D1498" s="8" t="str">
        <f>"谢春凤"</f>
        <v>谢春凤</v>
      </c>
      <c r="E1498" s="8" t="str">
        <f t="shared" si="61"/>
        <v>女</v>
      </c>
      <c r="F1498" s="8" t="str">
        <f>"1987-12-30"</f>
        <v>1987-12-30</v>
      </c>
      <c r="G1498" s="9"/>
    </row>
    <row r="1499" spans="1:7" ht="13.5">
      <c r="A1499" s="7">
        <v>1497</v>
      </c>
      <c r="B1499" s="8" t="str">
        <f>"2341202009081958152148"</f>
        <v>2341202009081958152148</v>
      </c>
      <c r="C1499" s="8" t="s">
        <v>9</v>
      </c>
      <c r="D1499" s="8" t="str">
        <f>"陈运娥"</f>
        <v>陈运娥</v>
      </c>
      <c r="E1499" s="8" t="str">
        <f t="shared" si="61"/>
        <v>女</v>
      </c>
      <c r="F1499" s="8" t="str">
        <f>"1990-11-23"</f>
        <v>1990-11-23</v>
      </c>
      <c r="G1499" s="9"/>
    </row>
    <row r="1500" spans="1:7" ht="13.5">
      <c r="A1500" s="7">
        <v>1498</v>
      </c>
      <c r="B1500" s="8" t="str">
        <f>"2341202009082008102150"</f>
        <v>2341202009082008102150</v>
      </c>
      <c r="C1500" s="8" t="s">
        <v>9</v>
      </c>
      <c r="D1500" s="8" t="str">
        <f>"陈俊华"</f>
        <v>陈俊华</v>
      </c>
      <c r="E1500" s="8" t="str">
        <f>"男"</f>
        <v>男</v>
      </c>
      <c r="F1500" s="8" t="str">
        <f>"1991-02-19"</f>
        <v>1991-02-19</v>
      </c>
      <c r="G1500" s="9"/>
    </row>
    <row r="1501" spans="1:7" ht="13.5">
      <c r="A1501" s="7">
        <v>1499</v>
      </c>
      <c r="B1501" s="8" t="str">
        <f>"2341202009082042422156"</f>
        <v>2341202009082042422156</v>
      </c>
      <c r="C1501" s="8" t="s">
        <v>9</v>
      </c>
      <c r="D1501" s="8" t="str">
        <f>"郭美慧"</f>
        <v>郭美慧</v>
      </c>
      <c r="E1501" s="8" t="str">
        <f>"女"</f>
        <v>女</v>
      </c>
      <c r="F1501" s="8" t="str">
        <f>"1997-03-26"</f>
        <v>1997-03-26</v>
      </c>
      <c r="G1501" s="9"/>
    </row>
    <row r="1502" spans="1:7" ht="13.5">
      <c r="A1502" s="7">
        <v>1500</v>
      </c>
      <c r="B1502" s="8" t="str">
        <f>"2341202009082044082157"</f>
        <v>2341202009082044082157</v>
      </c>
      <c r="C1502" s="8" t="s">
        <v>9</v>
      </c>
      <c r="D1502" s="8" t="str">
        <f>"邓之山"</f>
        <v>邓之山</v>
      </c>
      <c r="E1502" s="8" t="str">
        <f>"男"</f>
        <v>男</v>
      </c>
      <c r="F1502" s="8" t="str">
        <f>"1989-11-09"</f>
        <v>1989-11-09</v>
      </c>
      <c r="G1502" s="9"/>
    </row>
    <row r="1503" spans="1:7" ht="13.5">
      <c r="A1503" s="7">
        <v>1501</v>
      </c>
      <c r="B1503" s="8" t="str">
        <f>"2341202009082055082160"</f>
        <v>2341202009082055082160</v>
      </c>
      <c r="C1503" s="8" t="s">
        <v>9</v>
      </c>
      <c r="D1503" s="8" t="str">
        <f>"周玉燕"</f>
        <v>周玉燕</v>
      </c>
      <c r="E1503" s="8" t="str">
        <f aca="true" t="shared" si="62" ref="E1503:E1526">"女"</f>
        <v>女</v>
      </c>
      <c r="F1503" s="8" t="str">
        <f>"1995-09-30"</f>
        <v>1995-09-30</v>
      </c>
      <c r="G1503" s="9"/>
    </row>
    <row r="1504" spans="1:7" ht="13.5">
      <c r="A1504" s="7">
        <v>1502</v>
      </c>
      <c r="B1504" s="8" t="str">
        <f>"2341202009082113222166"</f>
        <v>2341202009082113222166</v>
      </c>
      <c r="C1504" s="8" t="s">
        <v>9</v>
      </c>
      <c r="D1504" s="8" t="str">
        <f>"薛秋花"</f>
        <v>薛秋花</v>
      </c>
      <c r="E1504" s="8" t="str">
        <f t="shared" si="62"/>
        <v>女</v>
      </c>
      <c r="F1504" s="8" t="str">
        <f>"1996-10-19"</f>
        <v>1996-10-19</v>
      </c>
      <c r="G1504" s="9"/>
    </row>
    <row r="1505" spans="1:7" ht="13.5">
      <c r="A1505" s="7">
        <v>1503</v>
      </c>
      <c r="B1505" s="8" t="str">
        <f>"2341202009082120312167"</f>
        <v>2341202009082120312167</v>
      </c>
      <c r="C1505" s="8" t="s">
        <v>9</v>
      </c>
      <c r="D1505" s="8" t="str">
        <f>"黄丹"</f>
        <v>黄丹</v>
      </c>
      <c r="E1505" s="8" t="str">
        <f t="shared" si="62"/>
        <v>女</v>
      </c>
      <c r="F1505" s="8" t="str">
        <f>"1997-05-08"</f>
        <v>1997-05-08</v>
      </c>
      <c r="G1505" s="9"/>
    </row>
    <row r="1506" spans="1:7" ht="13.5">
      <c r="A1506" s="7">
        <v>1504</v>
      </c>
      <c r="B1506" s="8" t="str">
        <f>"2341202009082153202175"</f>
        <v>2341202009082153202175</v>
      </c>
      <c r="C1506" s="8" t="s">
        <v>9</v>
      </c>
      <c r="D1506" s="8" t="str">
        <f>"王兰珍"</f>
        <v>王兰珍</v>
      </c>
      <c r="E1506" s="8" t="str">
        <f t="shared" si="62"/>
        <v>女</v>
      </c>
      <c r="F1506" s="8" t="str">
        <f>"1991-10-02"</f>
        <v>1991-10-02</v>
      </c>
      <c r="G1506" s="9"/>
    </row>
    <row r="1507" spans="1:7" ht="13.5">
      <c r="A1507" s="7">
        <v>1505</v>
      </c>
      <c r="B1507" s="8" t="str">
        <f>"2341202009082227262178"</f>
        <v>2341202009082227262178</v>
      </c>
      <c r="C1507" s="8" t="s">
        <v>9</v>
      </c>
      <c r="D1507" s="8" t="str">
        <f>"刘灵锐"</f>
        <v>刘灵锐</v>
      </c>
      <c r="E1507" s="8" t="str">
        <f t="shared" si="62"/>
        <v>女</v>
      </c>
      <c r="F1507" s="8" t="str">
        <f>"1995-06-12"</f>
        <v>1995-06-12</v>
      </c>
      <c r="G1507" s="9"/>
    </row>
    <row r="1508" spans="1:7" ht="13.5">
      <c r="A1508" s="7">
        <v>1506</v>
      </c>
      <c r="B1508" s="8" t="str">
        <f>"2341202009082231342179"</f>
        <v>2341202009082231342179</v>
      </c>
      <c r="C1508" s="8" t="s">
        <v>9</v>
      </c>
      <c r="D1508" s="8" t="str">
        <f>"王雪玉"</f>
        <v>王雪玉</v>
      </c>
      <c r="E1508" s="8" t="str">
        <f t="shared" si="62"/>
        <v>女</v>
      </c>
      <c r="F1508" s="8" t="str">
        <f>"1997-07-28"</f>
        <v>1997-07-28</v>
      </c>
      <c r="G1508" s="9"/>
    </row>
    <row r="1509" spans="1:7" ht="13.5">
      <c r="A1509" s="7">
        <v>1507</v>
      </c>
      <c r="B1509" s="8" t="str">
        <f>"2341202009082235212180"</f>
        <v>2341202009082235212180</v>
      </c>
      <c r="C1509" s="8" t="s">
        <v>9</v>
      </c>
      <c r="D1509" s="8" t="str">
        <f>"陈碧戚"</f>
        <v>陈碧戚</v>
      </c>
      <c r="E1509" s="8" t="str">
        <f t="shared" si="62"/>
        <v>女</v>
      </c>
      <c r="F1509" s="8" t="str">
        <f>"1995-03-06"</f>
        <v>1995-03-06</v>
      </c>
      <c r="G1509" s="9"/>
    </row>
    <row r="1510" spans="1:7" ht="13.5">
      <c r="A1510" s="7">
        <v>1508</v>
      </c>
      <c r="B1510" s="8" t="str">
        <f>"2341202009082250012182"</f>
        <v>2341202009082250012182</v>
      </c>
      <c r="C1510" s="8" t="s">
        <v>9</v>
      </c>
      <c r="D1510" s="8" t="str">
        <f>"纪金玉"</f>
        <v>纪金玉</v>
      </c>
      <c r="E1510" s="8" t="str">
        <f t="shared" si="62"/>
        <v>女</v>
      </c>
      <c r="F1510" s="8" t="str">
        <f>"1993-12-30"</f>
        <v>1993-12-30</v>
      </c>
      <c r="G1510" s="9"/>
    </row>
    <row r="1511" spans="1:7" ht="13.5">
      <c r="A1511" s="7">
        <v>1509</v>
      </c>
      <c r="B1511" s="8" t="str">
        <f>"2341202009082325172189"</f>
        <v>2341202009082325172189</v>
      </c>
      <c r="C1511" s="8" t="s">
        <v>9</v>
      </c>
      <c r="D1511" s="8" t="str">
        <f>"章欣"</f>
        <v>章欣</v>
      </c>
      <c r="E1511" s="8" t="str">
        <f t="shared" si="62"/>
        <v>女</v>
      </c>
      <c r="F1511" s="8" t="str">
        <f>"1997-08-01"</f>
        <v>1997-08-01</v>
      </c>
      <c r="G1511" s="9"/>
    </row>
    <row r="1512" spans="1:7" ht="13.5">
      <c r="A1512" s="7">
        <v>1510</v>
      </c>
      <c r="B1512" s="8" t="str">
        <f>"2341202009082327062190"</f>
        <v>2341202009082327062190</v>
      </c>
      <c r="C1512" s="8" t="s">
        <v>9</v>
      </c>
      <c r="D1512" s="8" t="str">
        <f>"李晓蓉"</f>
        <v>李晓蓉</v>
      </c>
      <c r="E1512" s="8" t="str">
        <f t="shared" si="62"/>
        <v>女</v>
      </c>
      <c r="F1512" s="8" t="str">
        <f>"1985-10-24"</f>
        <v>1985-10-24</v>
      </c>
      <c r="G1512" s="9"/>
    </row>
    <row r="1513" spans="1:7" ht="13.5">
      <c r="A1513" s="7">
        <v>1511</v>
      </c>
      <c r="B1513" s="8" t="str">
        <f>"2341202009090802272193"</f>
        <v>2341202009090802272193</v>
      </c>
      <c r="C1513" s="8" t="s">
        <v>9</v>
      </c>
      <c r="D1513" s="8" t="str">
        <f>"邢玉丽"</f>
        <v>邢玉丽</v>
      </c>
      <c r="E1513" s="8" t="str">
        <f t="shared" si="62"/>
        <v>女</v>
      </c>
      <c r="F1513" s="8" t="str">
        <f>"1992-10-09"</f>
        <v>1992-10-09</v>
      </c>
      <c r="G1513" s="9"/>
    </row>
    <row r="1514" spans="1:7" ht="13.5">
      <c r="A1514" s="7">
        <v>1512</v>
      </c>
      <c r="B1514" s="8" t="str">
        <f>"2341202009090840192199"</f>
        <v>2341202009090840192199</v>
      </c>
      <c r="C1514" s="8" t="s">
        <v>9</v>
      </c>
      <c r="D1514" s="8" t="str">
        <f>"林晶丽"</f>
        <v>林晶丽</v>
      </c>
      <c r="E1514" s="8" t="str">
        <f t="shared" si="62"/>
        <v>女</v>
      </c>
      <c r="F1514" s="8" t="str">
        <f>"1995-04-21"</f>
        <v>1995-04-21</v>
      </c>
      <c r="G1514" s="9"/>
    </row>
    <row r="1515" spans="1:7" ht="13.5">
      <c r="A1515" s="7">
        <v>1513</v>
      </c>
      <c r="B1515" s="8" t="str">
        <f>"2341202009090920432207"</f>
        <v>2341202009090920432207</v>
      </c>
      <c r="C1515" s="8" t="s">
        <v>9</v>
      </c>
      <c r="D1515" s="8" t="str">
        <f>"曹莉"</f>
        <v>曹莉</v>
      </c>
      <c r="E1515" s="8" t="str">
        <f t="shared" si="62"/>
        <v>女</v>
      </c>
      <c r="F1515" s="8" t="str">
        <f>"1997-02-01"</f>
        <v>1997-02-01</v>
      </c>
      <c r="G1515" s="9"/>
    </row>
    <row r="1516" spans="1:7" ht="13.5">
      <c r="A1516" s="7">
        <v>1514</v>
      </c>
      <c r="B1516" s="8" t="str">
        <f>"2341202009090922222208"</f>
        <v>2341202009090922222208</v>
      </c>
      <c r="C1516" s="8" t="s">
        <v>9</v>
      </c>
      <c r="D1516" s="8" t="str">
        <f>"蔡文静"</f>
        <v>蔡文静</v>
      </c>
      <c r="E1516" s="8" t="str">
        <f t="shared" si="62"/>
        <v>女</v>
      </c>
      <c r="F1516" s="8" t="str">
        <f>"1997-03-16"</f>
        <v>1997-03-16</v>
      </c>
      <c r="G1516" s="9"/>
    </row>
    <row r="1517" spans="1:7" ht="13.5">
      <c r="A1517" s="7">
        <v>1515</v>
      </c>
      <c r="B1517" s="8" t="str">
        <f>"2341202009090941222214"</f>
        <v>2341202009090941222214</v>
      </c>
      <c r="C1517" s="8" t="s">
        <v>9</v>
      </c>
      <c r="D1517" s="8" t="str">
        <f>"罗明玲"</f>
        <v>罗明玲</v>
      </c>
      <c r="E1517" s="8" t="str">
        <f t="shared" si="62"/>
        <v>女</v>
      </c>
      <c r="F1517" s="8" t="str">
        <f>"1994-05-09"</f>
        <v>1994-05-09</v>
      </c>
      <c r="G1517" s="9"/>
    </row>
    <row r="1518" spans="1:7" ht="13.5">
      <c r="A1518" s="7">
        <v>1516</v>
      </c>
      <c r="B1518" s="8" t="str">
        <f>"2341202009090942372215"</f>
        <v>2341202009090942372215</v>
      </c>
      <c r="C1518" s="8" t="s">
        <v>9</v>
      </c>
      <c r="D1518" s="8" t="str">
        <f>"李爱明"</f>
        <v>李爱明</v>
      </c>
      <c r="E1518" s="8" t="str">
        <f t="shared" si="62"/>
        <v>女</v>
      </c>
      <c r="F1518" s="8" t="str">
        <f>"1993-06-06"</f>
        <v>1993-06-06</v>
      </c>
      <c r="G1518" s="9"/>
    </row>
    <row r="1519" spans="1:7" ht="13.5">
      <c r="A1519" s="7">
        <v>1517</v>
      </c>
      <c r="B1519" s="8" t="str">
        <f>"2341202009091006412220"</f>
        <v>2341202009091006412220</v>
      </c>
      <c r="C1519" s="8" t="s">
        <v>9</v>
      </c>
      <c r="D1519" s="8" t="str">
        <f>"吉艳丽"</f>
        <v>吉艳丽</v>
      </c>
      <c r="E1519" s="8" t="str">
        <f t="shared" si="62"/>
        <v>女</v>
      </c>
      <c r="F1519" s="8" t="str">
        <f>"1991-04-14"</f>
        <v>1991-04-14</v>
      </c>
      <c r="G1519" s="9"/>
    </row>
    <row r="1520" spans="1:7" ht="13.5">
      <c r="A1520" s="7">
        <v>1518</v>
      </c>
      <c r="B1520" s="8" t="str">
        <f>"2341202009091016162222"</f>
        <v>2341202009091016162222</v>
      </c>
      <c r="C1520" s="8" t="s">
        <v>9</v>
      </c>
      <c r="D1520" s="8" t="str">
        <f>"孟柳青"</f>
        <v>孟柳青</v>
      </c>
      <c r="E1520" s="8" t="str">
        <f t="shared" si="62"/>
        <v>女</v>
      </c>
      <c r="F1520" s="8" t="str">
        <f>"1992-10-13"</f>
        <v>1992-10-13</v>
      </c>
      <c r="G1520" s="9"/>
    </row>
    <row r="1521" spans="1:7" ht="13.5">
      <c r="A1521" s="7">
        <v>1519</v>
      </c>
      <c r="B1521" s="8" t="str">
        <f>"2341202009091023012225"</f>
        <v>2341202009091023012225</v>
      </c>
      <c r="C1521" s="8" t="s">
        <v>9</v>
      </c>
      <c r="D1521" s="8" t="str">
        <f>"吉液"</f>
        <v>吉液</v>
      </c>
      <c r="E1521" s="8" t="str">
        <f t="shared" si="62"/>
        <v>女</v>
      </c>
      <c r="F1521" s="8" t="str">
        <f>"1985-12-09"</f>
        <v>1985-12-09</v>
      </c>
      <c r="G1521" s="9"/>
    </row>
    <row r="1522" spans="1:7" ht="13.5">
      <c r="A1522" s="7">
        <v>1520</v>
      </c>
      <c r="B1522" s="8" t="str">
        <f>"2341202009091041462231"</f>
        <v>2341202009091041462231</v>
      </c>
      <c r="C1522" s="8" t="s">
        <v>9</v>
      </c>
      <c r="D1522" s="8" t="str">
        <f>"陈芳"</f>
        <v>陈芳</v>
      </c>
      <c r="E1522" s="8" t="str">
        <f t="shared" si="62"/>
        <v>女</v>
      </c>
      <c r="F1522" s="8" t="str">
        <f>"1998-11-17"</f>
        <v>1998-11-17</v>
      </c>
      <c r="G1522" s="9"/>
    </row>
    <row r="1523" spans="1:7" ht="13.5">
      <c r="A1523" s="7">
        <v>1521</v>
      </c>
      <c r="B1523" s="8" t="str">
        <f>"2341202009091051362234"</f>
        <v>2341202009091051362234</v>
      </c>
      <c r="C1523" s="8" t="s">
        <v>9</v>
      </c>
      <c r="D1523" s="8" t="str">
        <f>"林晓晓"</f>
        <v>林晓晓</v>
      </c>
      <c r="E1523" s="8" t="str">
        <f t="shared" si="62"/>
        <v>女</v>
      </c>
      <c r="F1523" s="8" t="str">
        <f>"1993-07-05"</f>
        <v>1993-07-05</v>
      </c>
      <c r="G1523" s="9"/>
    </row>
    <row r="1524" spans="1:7" ht="13.5">
      <c r="A1524" s="7">
        <v>1522</v>
      </c>
      <c r="B1524" s="8" t="str">
        <f>"2341202009091055002236"</f>
        <v>2341202009091055002236</v>
      </c>
      <c r="C1524" s="8" t="s">
        <v>9</v>
      </c>
      <c r="D1524" s="8" t="str">
        <f>"董智"</f>
        <v>董智</v>
      </c>
      <c r="E1524" s="8" t="str">
        <f t="shared" si="62"/>
        <v>女</v>
      </c>
      <c r="F1524" s="8" t="str">
        <f>"1990-04-28"</f>
        <v>1990-04-28</v>
      </c>
      <c r="G1524" s="9"/>
    </row>
    <row r="1525" spans="1:7" ht="13.5">
      <c r="A1525" s="7">
        <v>1523</v>
      </c>
      <c r="B1525" s="8" t="str">
        <f>"2341202009091154082241"</f>
        <v>2341202009091154082241</v>
      </c>
      <c r="C1525" s="8" t="s">
        <v>9</v>
      </c>
      <c r="D1525" s="8" t="str">
        <f>"王少环"</f>
        <v>王少环</v>
      </c>
      <c r="E1525" s="8" t="str">
        <f t="shared" si="62"/>
        <v>女</v>
      </c>
      <c r="F1525" s="8" t="str">
        <f>"1996-09-12"</f>
        <v>1996-09-12</v>
      </c>
      <c r="G1525" s="9"/>
    </row>
    <row r="1526" spans="1:7" ht="13.5">
      <c r="A1526" s="7">
        <v>1524</v>
      </c>
      <c r="B1526" s="8" t="str">
        <f>"2341202009091210152243"</f>
        <v>2341202009091210152243</v>
      </c>
      <c r="C1526" s="8" t="s">
        <v>9</v>
      </c>
      <c r="D1526" s="8" t="str">
        <f>"杨丹丹"</f>
        <v>杨丹丹</v>
      </c>
      <c r="E1526" s="8" t="str">
        <f t="shared" si="62"/>
        <v>女</v>
      </c>
      <c r="F1526" s="8" t="str">
        <f>"1997-03-12"</f>
        <v>1997-03-12</v>
      </c>
      <c r="G1526" s="9"/>
    </row>
    <row r="1527" spans="1:7" ht="13.5">
      <c r="A1527" s="7">
        <v>1525</v>
      </c>
      <c r="B1527" s="8" t="str">
        <f>"2341202009091216572244"</f>
        <v>2341202009091216572244</v>
      </c>
      <c r="C1527" s="8" t="s">
        <v>9</v>
      </c>
      <c r="D1527" s="8" t="str">
        <f>"李平旺"</f>
        <v>李平旺</v>
      </c>
      <c r="E1527" s="8" t="str">
        <f>"男"</f>
        <v>男</v>
      </c>
      <c r="F1527" s="8" t="str">
        <f>"1994-12-07"</f>
        <v>1994-12-07</v>
      </c>
      <c r="G1527" s="9"/>
    </row>
    <row r="1528" spans="1:7" ht="13.5">
      <c r="A1528" s="7">
        <v>1526</v>
      </c>
      <c r="B1528" s="8" t="str">
        <f>"2341202009091245592248"</f>
        <v>2341202009091245592248</v>
      </c>
      <c r="C1528" s="8" t="s">
        <v>9</v>
      </c>
      <c r="D1528" s="8" t="str">
        <f>"汤云璐"</f>
        <v>汤云璐</v>
      </c>
      <c r="E1528" s="8" t="str">
        <f aca="true" t="shared" si="63" ref="E1528:E1551">"女"</f>
        <v>女</v>
      </c>
      <c r="F1528" s="8" t="str">
        <f>"1996-03-13"</f>
        <v>1996-03-13</v>
      </c>
      <c r="G1528" s="9"/>
    </row>
    <row r="1529" spans="1:7" ht="13.5">
      <c r="A1529" s="7">
        <v>1527</v>
      </c>
      <c r="B1529" s="8" t="str">
        <f>"2341202009091302322250"</f>
        <v>2341202009091302322250</v>
      </c>
      <c r="C1529" s="8" t="s">
        <v>9</v>
      </c>
      <c r="D1529" s="8" t="str">
        <f>"何敏敏"</f>
        <v>何敏敏</v>
      </c>
      <c r="E1529" s="8" t="str">
        <f t="shared" si="63"/>
        <v>女</v>
      </c>
      <c r="F1529" s="8" t="str">
        <f>"1998-06-28"</f>
        <v>1998-06-28</v>
      </c>
      <c r="G1529" s="9"/>
    </row>
    <row r="1530" spans="1:7" ht="13.5">
      <c r="A1530" s="7">
        <v>1528</v>
      </c>
      <c r="B1530" s="8" t="str">
        <f>"2341202009091317382254"</f>
        <v>2341202009091317382254</v>
      </c>
      <c r="C1530" s="8" t="s">
        <v>9</v>
      </c>
      <c r="D1530" s="8" t="str">
        <f>"吴小添"</f>
        <v>吴小添</v>
      </c>
      <c r="E1530" s="8" t="str">
        <f t="shared" si="63"/>
        <v>女</v>
      </c>
      <c r="F1530" s="8" t="str">
        <f>"1992-02-20"</f>
        <v>1992-02-20</v>
      </c>
      <c r="G1530" s="9"/>
    </row>
    <row r="1531" spans="1:7" ht="13.5">
      <c r="A1531" s="7">
        <v>1529</v>
      </c>
      <c r="B1531" s="8" t="str">
        <f>"2341202009091347562257"</f>
        <v>2341202009091347562257</v>
      </c>
      <c r="C1531" s="8" t="s">
        <v>9</v>
      </c>
      <c r="D1531" s="8" t="str">
        <f>"符月正"</f>
        <v>符月正</v>
      </c>
      <c r="E1531" s="8" t="str">
        <f t="shared" si="63"/>
        <v>女</v>
      </c>
      <c r="F1531" s="8" t="str">
        <f>"1993-11-13"</f>
        <v>1993-11-13</v>
      </c>
      <c r="G1531" s="9"/>
    </row>
    <row r="1532" spans="1:7" ht="13.5">
      <c r="A1532" s="7">
        <v>1530</v>
      </c>
      <c r="B1532" s="8" t="str">
        <f>"2341202009091434312259"</f>
        <v>2341202009091434312259</v>
      </c>
      <c r="C1532" s="8" t="s">
        <v>9</v>
      </c>
      <c r="D1532" s="8" t="str">
        <f>"王方浪"</f>
        <v>王方浪</v>
      </c>
      <c r="E1532" s="8" t="str">
        <f t="shared" si="63"/>
        <v>女</v>
      </c>
      <c r="F1532" s="8" t="str">
        <f>"1993-10-07"</f>
        <v>1993-10-07</v>
      </c>
      <c r="G1532" s="9"/>
    </row>
    <row r="1533" spans="1:7" ht="13.5">
      <c r="A1533" s="7">
        <v>1531</v>
      </c>
      <c r="B1533" s="8" t="str">
        <f>"2341202009091434342260"</f>
        <v>2341202009091434342260</v>
      </c>
      <c r="C1533" s="8" t="s">
        <v>9</v>
      </c>
      <c r="D1533" s="8" t="str">
        <f>"彭园园"</f>
        <v>彭园园</v>
      </c>
      <c r="E1533" s="8" t="str">
        <f t="shared" si="63"/>
        <v>女</v>
      </c>
      <c r="F1533" s="8" t="str">
        <f>"1988-06-18"</f>
        <v>1988-06-18</v>
      </c>
      <c r="G1533" s="9"/>
    </row>
    <row r="1534" spans="1:7" ht="13.5">
      <c r="A1534" s="7">
        <v>1532</v>
      </c>
      <c r="B1534" s="8" t="str">
        <f>"2341202009091529112269"</f>
        <v>2341202009091529112269</v>
      </c>
      <c r="C1534" s="8" t="s">
        <v>9</v>
      </c>
      <c r="D1534" s="8" t="str">
        <f>"郑凌云"</f>
        <v>郑凌云</v>
      </c>
      <c r="E1534" s="8" t="str">
        <f t="shared" si="63"/>
        <v>女</v>
      </c>
      <c r="F1534" s="8" t="str">
        <f>"1996-05-17"</f>
        <v>1996-05-17</v>
      </c>
      <c r="G1534" s="9"/>
    </row>
    <row r="1535" spans="1:7" ht="13.5">
      <c r="A1535" s="7">
        <v>1533</v>
      </c>
      <c r="B1535" s="8" t="str">
        <f>"2341202009091549142273"</f>
        <v>2341202009091549142273</v>
      </c>
      <c r="C1535" s="8" t="s">
        <v>9</v>
      </c>
      <c r="D1535" s="8" t="str">
        <f>"林儒玲"</f>
        <v>林儒玲</v>
      </c>
      <c r="E1535" s="8" t="str">
        <f t="shared" si="63"/>
        <v>女</v>
      </c>
      <c r="F1535" s="8" t="str">
        <f>"1991-04-18"</f>
        <v>1991-04-18</v>
      </c>
      <c r="G1535" s="9"/>
    </row>
    <row r="1536" spans="1:7" ht="13.5">
      <c r="A1536" s="7">
        <v>1534</v>
      </c>
      <c r="B1536" s="8" t="str">
        <f>"2341202009091558002274"</f>
        <v>2341202009091558002274</v>
      </c>
      <c r="C1536" s="8" t="s">
        <v>9</v>
      </c>
      <c r="D1536" s="8" t="str">
        <f>"林礼妙"</f>
        <v>林礼妙</v>
      </c>
      <c r="E1536" s="8" t="str">
        <f t="shared" si="63"/>
        <v>女</v>
      </c>
      <c r="F1536" s="8" t="str">
        <f>"1996-12-01"</f>
        <v>1996-12-01</v>
      </c>
      <c r="G1536" s="9"/>
    </row>
    <row r="1537" spans="1:7" ht="13.5">
      <c r="A1537" s="7">
        <v>1535</v>
      </c>
      <c r="B1537" s="8" t="str">
        <f>"2341202009091615302277"</f>
        <v>2341202009091615302277</v>
      </c>
      <c r="C1537" s="8" t="s">
        <v>9</v>
      </c>
      <c r="D1537" s="8" t="str">
        <f>"王丹"</f>
        <v>王丹</v>
      </c>
      <c r="E1537" s="8" t="str">
        <f t="shared" si="63"/>
        <v>女</v>
      </c>
      <c r="F1537" s="8" t="str">
        <f>"1995-04-11"</f>
        <v>1995-04-11</v>
      </c>
      <c r="G1537" s="9"/>
    </row>
    <row r="1538" spans="1:7" ht="13.5">
      <c r="A1538" s="7">
        <v>1536</v>
      </c>
      <c r="B1538" s="8" t="str">
        <f>"2341202009091746452292"</f>
        <v>2341202009091746452292</v>
      </c>
      <c r="C1538" s="8" t="s">
        <v>9</v>
      </c>
      <c r="D1538" s="8" t="str">
        <f>"王花"</f>
        <v>王花</v>
      </c>
      <c r="E1538" s="8" t="str">
        <f t="shared" si="63"/>
        <v>女</v>
      </c>
      <c r="F1538" s="8" t="str">
        <f>"1997-04-30"</f>
        <v>1997-04-30</v>
      </c>
      <c r="G1538" s="9"/>
    </row>
    <row r="1539" spans="1:7" ht="13.5">
      <c r="A1539" s="7">
        <v>1537</v>
      </c>
      <c r="B1539" s="8" t="str">
        <f>"2341202009091747402295"</f>
        <v>2341202009091747402295</v>
      </c>
      <c r="C1539" s="8" t="s">
        <v>9</v>
      </c>
      <c r="D1539" s="8" t="str">
        <f>"林方婷"</f>
        <v>林方婷</v>
      </c>
      <c r="E1539" s="8" t="str">
        <f t="shared" si="63"/>
        <v>女</v>
      </c>
      <c r="F1539" s="8" t="str">
        <f>"1998-03-05"</f>
        <v>1998-03-05</v>
      </c>
      <c r="G1539" s="9"/>
    </row>
    <row r="1540" spans="1:7" ht="13.5">
      <c r="A1540" s="7">
        <v>1538</v>
      </c>
      <c r="B1540" s="8" t="str">
        <f>"2341202009091800152298"</f>
        <v>2341202009091800152298</v>
      </c>
      <c r="C1540" s="8" t="s">
        <v>9</v>
      </c>
      <c r="D1540" s="8" t="str">
        <f>"王槐果"</f>
        <v>王槐果</v>
      </c>
      <c r="E1540" s="8" t="str">
        <f t="shared" si="63"/>
        <v>女</v>
      </c>
      <c r="F1540" s="8" t="str">
        <f>"1993-02-18"</f>
        <v>1993-02-18</v>
      </c>
      <c r="G1540" s="9"/>
    </row>
    <row r="1541" spans="1:7" ht="13.5">
      <c r="A1541" s="7">
        <v>1539</v>
      </c>
      <c r="B1541" s="8" t="str">
        <f>"2341202009091809542299"</f>
        <v>2341202009091809542299</v>
      </c>
      <c r="C1541" s="8" t="s">
        <v>9</v>
      </c>
      <c r="D1541" s="8" t="str">
        <f>"符秋丽"</f>
        <v>符秋丽</v>
      </c>
      <c r="E1541" s="8" t="str">
        <f t="shared" si="63"/>
        <v>女</v>
      </c>
      <c r="F1541" s="8" t="str">
        <f>"1995-03-28"</f>
        <v>1995-03-28</v>
      </c>
      <c r="G1541" s="9"/>
    </row>
    <row r="1542" spans="1:7" ht="13.5">
      <c r="A1542" s="7">
        <v>1540</v>
      </c>
      <c r="B1542" s="8" t="str">
        <f>"2341202009091856242303"</f>
        <v>2341202009091856242303</v>
      </c>
      <c r="C1542" s="8" t="s">
        <v>9</v>
      </c>
      <c r="D1542" s="8" t="str">
        <f>"孔芙先"</f>
        <v>孔芙先</v>
      </c>
      <c r="E1542" s="8" t="str">
        <f t="shared" si="63"/>
        <v>女</v>
      </c>
      <c r="F1542" s="8" t="str">
        <f>"1995-05-31"</f>
        <v>1995-05-31</v>
      </c>
      <c r="G1542" s="9"/>
    </row>
    <row r="1543" spans="1:7" ht="13.5">
      <c r="A1543" s="7">
        <v>1541</v>
      </c>
      <c r="B1543" s="8" t="str">
        <f>"2341202009092036112314"</f>
        <v>2341202009092036112314</v>
      </c>
      <c r="C1543" s="8" t="s">
        <v>9</v>
      </c>
      <c r="D1543" s="8" t="str">
        <f>"周妍"</f>
        <v>周妍</v>
      </c>
      <c r="E1543" s="8" t="str">
        <f t="shared" si="63"/>
        <v>女</v>
      </c>
      <c r="F1543" s="8" t="str">
        <f>"1992-05-28"</f>
        <v>1992-05-28</v>
      </c>
      <c r="G1543" s="9"/>
    </row>
    <row r="1544" spans="1:7" ht="13.5">
      <c r="A1544" s="7">
        <v>1542</v>
      </c>
      <c r="B1544" s="8" t="str">
        <f>"2341202009092143272324"</f>
        <v>2341202009092143272324</v>
      </c>
      <c r="C1544" s="8" t="s">
        <v>9</v>
      </c>
      <c r="D1544" s="8" t="str">
        <f>"李鹏玉"</f>
        <v>李鹏玉</v>
      </c>
      <c r="E1544" s="8" t="str">
        <f t="shared" si="63"/>
        <v>女</v>
      </c>
      <c r="F1544" s="8" t="str">
        <f>"1989-08-21"</f>
        <v>1989-08-21</v>
      </c>
      <c r="G1544" s="9"/>
    </row>
    <row r="1545" spans="1:7" ht="13.5">
      <c r="A1545" s="7">
        <v>1543</v>
      </c>
      <c r="B1545" s="8" t="str">
        <f>"2341202009092145032326"</f>
        <v>2341202009092145032326</v>
      </c>
      <c r="C1545" s="8" t="s">
        <v>9</v>
      </c>
      <c r="D1545" s="8" t="str">
        <f>"马燕"</f>
        <v>马燕</v>
      </c>
      <c r="E1545" s="8" t="str">
        <f t="shared" si="63"/>
        <v>女</v>
      </c>
      <c r="F1545" s="8" t="str">
        <f>"1990-06-20"</f>
        <v>1990-06-20</v>
      </c>
      <c r="G1545" s="9"/>
    </row>
    <row r="1546" spans="1:7" ht="13.5">
      <c r="A1546" s="7">
        <v>1544</v>
      </c>
      <c r="B1546" s="8" t="str">
        <f>"2341202009092203102329"</f>
        <v>2341202009092203102329</v>
      </c>
      <c r="C1546" s="8" t="s">
        <v>9</v>
      </c>
      <c r="D1546" s="8" t="str">
        <f>"蔡金芝"</f>
        <v>蔡金芝</v>
      </c>
      <c r="E1546" s="8" t="str">
        <f t="shared" si="63"/>
        <v>女</v>
      </c>
      <c r="F1546" s="8" t="str">
        <f>"1993-06-12"</f>
        <v>1993-06-12</v>
      </c>
      <c r="G1546" s="9"/>
    </row>
    <row r="1547" spans="1:7" ht="13.5">
      <c r="A1547" s="7">
        <v>1545</v>
      </c>
      <c r="B1547" s="8" t="str">
        <f>"2341202009092226542330"</f>
        <v>2341202009092226542330</v>
      </c>
      <c r="C1547" s="8" t="s">
        <v>9</v>
      </c>
      <c r="D1547" s="8" t="str">
        <f>"李燕"</f>
        <v>李燕</v>
      </c>
      <c r="E1547" s="8" t="str">
        <f t="shared" si="63"/>
        <v>女</v>
      </c>
      <c r="F1547" s="8" t="str">
        <f>"1998-09-10"</f>
        <v>1998-09-10</v>
      </c>
      <c r="G1547" s="9"/>
    </row>
    <row r="1548" spans="1:7" ht="13.5">
      <c r="A1548" s="7">
        <v>1546</v>
      </c>
      <c r="B1548" s="8" t="str">
        <f>"2341202009092237022331"</f>
        <v>2341202009092237022331</v>
      </c>
      <c r="C1548" s="8" t="s">
        <v>9</v>
      </c>
      <c r="D1548" s="8" t="str">
        <f>"沈天巧"</f>
        <v>沈天巧</v>
      </c>
      <c r="E1548" s="8" t="str">
        <f t="shared" si="63"/>
        <v>女</v>
      </c>
      <c r="F1548" s="8" t="str">
        <f>"1984-12-30"</f>
        <v>1984-12-30</v>
      </c>
      <c r="G1548" s="9"/>
    </row>
    <row r="1549" spans="1:7" ht="13.5">
      <c r="A1549" s="7">
        <v>1547</v>
      </c>
      <c r="B1549" s="8" t="str">
        <f>"2341202009092304392334"</f>
        <v>2341202009092304392334</v>
      </c>
      <c r="C1549" s="8" t="s">
        <v>9</v>
      </c>
      <c r="D1549" s="8" t="str">
        <f>"庄惠云"</f>
        <v>庄惠云</v>
      </c>
      <c r="E1549" s="8" t="str">
        <f t="shared" si="63"/>
        <v>女</v>
      </c>
      <c r="F1549" s="8" t="str">
        <f>"1987-12-13"</f>
        <v>1987-12-13</v>
      </c>
      <c r="G1549" s="9"/>
    </row>
    <row r="1550" spans="1:7" ht="13.5">
      <c r="A1550" s="7">
        <v>1548</v>
      </c>
      <c r="B1550" s="8" t="str">
        <f>"2341202009092305172335"</f>
        <v>2341202009092305172335</v>
      </c>
      <c r="C1550" s="8" t="s">
        <v>9</v>
      </c>
      <c r="D1550" s="8" t="str">
        <f>"蔡月翠"</f>
        <v>蔡月翠</v>
      </c>
      <c r="E1550" s="8" t="str">
        <f t="shared" si="63"/>
        <v>女</v>
      </c>
      <c r="F1550" s="8" t="str">
        <f>"1994-06-06"</f>
        <v>1994-06-06</v>
      </c>
      <c r="G1550" s="9"/>
    </row>
    <row r="1551" spans="1:7" ht="13.5">
      <c r="A1551" s="7">
        <v>1549</v>
      </c>
      <c r="B1551" s="8" t="str">
        <f>"2341202009092347582338"</f>
        <v>2341202009092347582338</v>
      </c>
      <c r="C1551" s="8" t="s">
        <v>9</v>
      </c>
      <c r="D1551" s="8" t="str">
        <f>"翁海花"</f>
        <v>翁海花</v>
      </c>
      <c r="E1551" s="8" t="str">
        <f t="shared" si="63"/>
        <v>女</v>
      </c>
      <c r="F1551" s="8" t="str">
        <f>"1991-05-04"</f>
        <v>1991-05-04</v>
      </c>
      <c r="G1551" s="9"/>
    </row>
    <row r="1552" spans="1:7" ht="13.5">
      <c r="A1552" s="7">
        <v>1550</v>
      </c>
      <c r="B1552" s="8" t="str">
        <f>"2341202009092349122339"</f>
        <v>2341202009092349122339</v>
      </c>
      <c r="C1552" s="8" t="s">
        <v>9</v>
      </c>
      <c r="D1552" s="8" t="str">
        <f>"陈政民"</f>
        <v>陈政民</v>
      </c>
      <c r="E1552" s="8" t="str">
        <f>"男"</f>
        <v>男</v>
      </c>
      <c r="F1552" s="8" t="str">
        <f>"1993-10-08"</f>
        <v>1993-10-08</v>
      </c>
      <c r="G1552" s="9"/>
    </row>
    <row r="1553" spans="1:7" ht="13.5">
      <c r="A1553" s="7">
        <v>1551</v>
      </c>
      <c r="B1553" s="8" t="str">
        <f>"2341202009100048062340"</f>
        <v>2341202009100048062340</v>
      </c>
      <c r="C1553" s="8" t="s">
        <v>9</v>
      </c>
      <c r="D1553" s="8" t="str">
        <f>"陈海珠"</f>
        <v>陈海珠</v>
      </c>
      <c r="E1553" s="8" t="str">
        <f aca="true" t="shared" si="64" ref="E1553:E1563">"女"</f>
        <v>女</v>
      </c>
      <c r="F1553" s="8" t="str">
        <f>"1985-07-24"</f>
        <v>1985-07-24</v>
      </c>
      <c r="G1553" s="9"/>
    </row>
    <row r="1554" spans="1:7" ht="13.5">
      <c r="A1554" s="7">
        <v>1552</v>
      </c>
      <c r="B1554" s="8" t="str">
        <f>"2341202009100841412345"</f>
        <v>2341202009100841412345</v>
      </c>
      <c r="C1554" s="8" t="s">
        <v>9</v>
      </c>
      <c r="D1554" s="8" t="str">
        <f>"傅力娟"</f>
        <v>傅力娟</v>
      </c>
      <c r="E1554" s="8" t="str">
        <f t="shared" si="64"/>
        <v>女</v>
      </c>
      <c r="F1554" s="8" t="str">
        <f>"1997-03-20"</f>
        <v>1997-03-20</v>
      </c>
      <c r="G1554" s="9"/>
    </row>
    <row r="1555" spans="1:7" ht="13.5">
      <c r="A1555" s="7">
        <v>1553</v>
      </c>
      <c r="B1555" s="8" t="str">
        <f>"2341202009100849312347"</f>
        <v>2341202009100849312347</v>
      </c>
      <c r="C1555" s="8" t="s">
        <v>9</v>
      </c>
      <c r="D1555" s="8" t="str">
        <f>"唐小丽"</f>
        <v>唐小丽</v>
      </c>
      <c r="E1555" s="8" t="str">
        <f t="shared" si="64"/>
        <v>女</v>
      </c>
      <c r="F1555" s="8" t="str">
        <f>"1995-02-10"</f>
        <v>1995-02-10</v>
      </c>
      <c r="G1555" s="9"/>
    </row>
    <row r="1556" spans="1:7" ht="13.5">
      <c r="A1556" s="7">
        <v>1554</v>
      </c>
      <c r="B1556" s="8" t="str">
        <f>"2341202009100849342348"</f>
        <v>2341202009100849342348</v>
      </c>
      <c r="C1556" s="8" t="s">
        <v>9</v>
      </c>
      <c r="D1556" s="8" t="str">
        <f>"林香宏"</f>
        <v>林香宏</v>
      </c>
      <c r="E1556" s="8" t="str">
        <f t="shared" si="64"/>
        <v>女</v>
      </c>
      <c r="F1556" s="8" t="str">
        <f>"1996-11-07"</f>
        <v>1996-11-07</v>
      </c>
      <c r="G1556" s="9"/>
    </row>
    <row r="1557" spans="1:7" ht="13.5">
      <c r="A1557" s="7">
        <v>1555</v>
      </c>
      <c r="B1557" s="8" t="str">
        <f>"2341202009100858542349"</f>
        <v>2341202009100858542349</v>
      </c>
      <c r="C1557" s="8" t="s">
        <v>9</v>
      </c>
      <c r="D1557" s="8" t="str">
        <f>"陈贤芳"</f>
        <v>陈贤芳</v>
      </c>
      <c r="E1557" s="8" t="str">
        <f t="shared" si="64"/>
        <v>女</v>
      </c>
      <c r="F1557" s="8" t="str">
        <f>"1989-11-12"</f>
        <v>1989-11-12</v>
      </c>
      <c r="G1557" s="9"/>
    </row>
    <row r="1558" spans="1:7" ht="13.5">
      <c r="A1558" s="7">
        <v>1556</v>
      </c>
      <c r="B1558" s="8" t="str">
        <f>"2341202009100926312352"</f>
        <v>2341202009100926312352</v>
      </c>
      <c r="C1558" s="8" t="s">
        <v>9</v>
      </c>
      <c r="D1558" s="8" t="str">
        <f>"李晶晶"</f>
        <v>李晶晶</v>
      </c>
      <c r="E1558" s="8" t="str">
        <f t="shared" si="64"/>
        <v>女</v>
      </c>
      <c r="F1558" s="8" t="str">
        <f>"1991-03-14"</f>
        <v>1991-03-14</v>
      </c>
      <c r="G1558" s="9"/>
    </row>
    <row r="1559" spans="1:7" ht="13.5">
      <c r="A1559" s="7">
        <v>1557</v>
      </c>
      <c r="B1559" s="8" t="str">
        <f>"2341202009100933262353"</f>
        <v>2341202009100933262353</v>
      </c>
      <c r="C1559" s="8" t="s">
        <v>9</v>
      </c>
      <c r="D1559" s="8" t="str">
        <f>"赵凤君"</f>
        <v>赵凤君</v>
      </c>
      <c r="E1559" s="8" t="str">
        <f t="shared" si="64"/>
        <v>女</v>
      </c>
      <c r="F1559" s="8" t="str">
        <f>"1992-04-14"</f>
        <v>1992-04-14</v>
      </c>
      <c r="G1559" s="9"/>
    </row>
    <row r="1560" spans="1:7" ht="13.5">
      <c r="A1560" s="7">
        <v>1558</v>
      </c>
      <c r="B1560" s="8" t="str">
        <f>"2341202009100934462354"</f>
        <v>2341202009100934462354</v>
      </c>
      <c r="C1560" s="8" t="s">
        <v>9</v>
      </c>
      <c r="D1560" s="8" t="str">
        <f>"高秀皇"</f>
        <v>高秀皇</v>
      </c>
      <c r="E1560" s="8" t="str">
        <f t="shared" si="64"/>
        <v>女</v>
      </c>
      <c r="F1560" s="8" t="str">
        <f>"1994-11-01"</f>
        <v>1994-11-01</v>
      </c>
      <c r="G1560" s="9"/>
    </row>
    <row r="1561" spans="1:7" ht="13.5">
      <c r="A1561" s="7">
        <v>1559</v>
      </c>
      <c r="B1561" s="8" t="str">
        <f>"2341202009101013452366"</f>
        <v>2341202009101013452366</v>
      </c>
      <c r="C1561" s="8" t="s">
        <v>9</v>
      </c>
      <c r="D1561" s="8" t="str">
        <f>"蔡冰倩"</f>
        <v>蔡冰倩</v>
      </c>
      <c r="E1561" s="8" t="str">
        <f t="shared" si="64"/>
        <v>女</v>
      </c>
      <c r="F1561" s="8" t="str">
        <f>"1989-07-20"</f>
        <v>1989-07-20</v>
      </c>
      <c r="G1561" s="9"/>
    </row>
    <row r="1562" spans="1:7" ht="13.5">
      <c r="A1562" s="7">
        <v>1560</v>
      </c>
      <c r="B1562" s="8" t="str">
        <f>"2341202009101022092367"</f>
        <v>2341202009101022092367</v>
      </c>
      <c r="C1562" s="8" t="s">
        <v>9</v>
      </c>
      <c r="D1562" s="8" t="str">
        <f>"王瑜"</f>
        <v>王瑜</v>
      </c>
      <c r="E1562" s="8" t="str">
        <f t="shared" si="64"/>
        <v>女</v>
      </c>
      <c r="F1562" s="8" t="str">
        <f>"1993-01-09"</f>
        <v>1993-01-09</v>
      </c>
      <c r="G1562" s="9"/>
    </row>
    <row r="1563" spans="1:7" ht="13.5">
      <c r="A1563" s="7">
        <v>1561</v>
      </c>
      <c r="B1563" s="8" t="str">
        <f>"2341202009101103052374"</f>
        <v>2341202009101103052374</v>
      </c>
      <c r="C1563" s="8" t="s">
        <v>9</v>
      </c>
      <c r="D1563" s="8" t="str">
        <f>"郭梦雅"</f>
        <v>郭梦雅</v>
      </c>
      <c r="E1563" s="8" t="str">
        <f t="shared" si="64"/>
        <v>女</v>
      </c>
      <c r="F1563" s="8" t="str">
        <f>"1997-01-25"</f>
        <v>1997-01-25</v>
      </c>
      <c r="G1563" s="9"/>
    </row>
    <row r="1564" spans="1:7" ht="13.5">
      <c r="A1564" s="7">
        <v>1562</v>
      </c>
      <c r="B1564" s="8" t="str">
        <f>"2341202009101110142377"</f>
        <v>2341202009101110142377</v>
      </c>
      <c r="C1564" s="8" t="s">
        <v>9</v>
      </c>
      <c r="D1564" s="8" t="str">
        <f>"周家麒"</f>
        <v>周家麒</v>
      </c>
      <c r="E1564" s="8" t="str">
        <f>"男"</f>
        <v>男</v>
      </c>
      <c r="F1564" s="8" t="str">
        <f>"1994-01-06"</f>
        <v>1994-01-06</v>
      </c>
      <c r="G1564" s="9"/>
    </row>
    <row r="1565" spans="1:7" ht="13.5">
      <c r="A1565" s="7">
        <v>1563</v>
      </c>
      <c r="B1565" s="8" t="str">
        <f>"2341202009101117402379"</f>
        <v>2341202009101117402379</v>
      </c>
      <c r="C1565" s="8" t="s">
        <v>9</v>
      </c>
      <c r="D1565" s="8" t="str">
        <f>"文丽曼"</f>
        <v>文丽曼</v>
      </c>
      <c r="E1565" s="8" t="str">
        <f aca="true" t="shared" si="65" ref="E1565:E1576">"女"</f>
        <v>女</v>
      </c>
      <c r="F1565" s="8" t="str">
        <f>"1993-05-07"</f>
        <v>1993-05-07</v>
      </c>
      <c r="G1565" s="9"/>
    </row>
    <row r="1566" spans="1:7" ht="13.5">
      <c r="A1566" s="7">
        <v>1564</v>
      </c>
      <c r="B1566" s="8" t="str">
        <f>"2341202009101121362380"</f>
        <v>2341202009101121362380</v>
      </c>
      <c r="C1566" s="8" t="s">
        <v>9</v>
      </c>
      <c r="D1566" s="8" t="str">
        <f>"邢江红"</f>
        <v>邢江红</v>
      </c>
      <c r="E1566" s="8" t="str">
        <f t="shared" si="65"/>
        <v>女</v>
      </c>
      <c r="F1566" s="8" t="str">
        <f>"1987-06-19"</f>
        <v>1987-06-19</v>
      </c>
      <c r="G1566" s="9"/>
    </row>
    <row r="1567" spans="1:7" ht="13.5">
      <c r="A1567" s="7">
        <v>1565</v>
      </c>
      <c r="B1567" s="8" t="str">
        <f>"2341202009101131202381"</f>
        <v>2341202009101131202381</v>
      </c>
      <c r="C1567" s="8" t="s">
        <v>9</v>
      </c>
      <c r="D1567" s="8" t="str">
        <f>"陈娜"</f>
        <v>陈娜</v>
      </c>
      <c r="E1567" s="8" t="str">
        <f t="shared" si="65"/>
        <v>女</v>
      </c>
      <c r="F1567" s="8" t="str">
        <f>"1995.02"</f>
        <v>1995.02</v>
      </c>
      <c r="G1567" s="9"/>
    </row>
    <row r="1568" spans="1:7" ht="13.5">
      <c r="A1568" s="7">
        <v>1566</v>
      </c>
      <c r="B1568" s="8" t="str">
        <f>"2341202009101132052382"</f>
        <v>2341202009101132052382</v>
      </c>
      <c r="C1568" s="8" t="s">
        <v>9</v>
      </c>
      <c r="D1568" s="8" t="str">
        <f>"赵冬珠"</f>
        <v>赵冬珠</v>
      </c>
      <c r="E1568" s="8" t="str">
        <f t="shared" si="65"/>
        <v>女</v>
      </c>
      <c r="F1568" s="8" t="str">
        <f>"1997-10-09"</f>
        <v>1997-10-09</v>
      </c>
      <c r="G1568" s="9"/>
    </row>
    <row r="1569" spans="1:7" ht="13.5">
      <c r="A1569" s="7">
        <v>1567</v>
      </c>
      <c r="B1569" s="8" t="str">
        <f>"2341202009101206202384"</f>
        <v>2341202009101206202384</v>
      </c>
      <c r="C1569" s="8" t="s">
        <v>9</v>
      </c>
      <c r="D1569" s="8" t="str">
        <f>"薛小荣"</f>
        <v>薛小荣</v>
      </c>
      <c r="E1569" s="8" t="str">
        <f t="shared" si="65"/>
        <v>女</v>
      </c>
      <c r="F1569" s="8" t="str">
        <f>"1993-07-17"</f>
        <v>1993-07-17</v>
      </c>
      <c r="G1569" s="9"/>
    </row>
    <row r="1570" spans="1:7" ht="13.5">
      <c r="A1570" s="7">
        <v>1568</v>
      </c>
      <c r="B1570" s="8" t="str">
        <f>"2341202009101301362385"</f>
        <v>2341202009101301362385</v>
      </c>
      <c r="C1570" s="8" t="s">
        <v>9</v>
      </c>
      <c r="D1570" s="8" t="str">
        <f>"林婷"</f>
        <v>林婷</v>
      </c>
      <c r="E1570" s="8" t="str">
        <f t="shared" si="65"/>
        <v>女</v>
      </c>
      <c r="F1570" s="8" t="str">
        <f>"1994-07-29"</f>
        <v>1994-07-29</v>
      </c>
      <c r="G1570" s="9"/>
    </row>
    <row r="1571" spans="1:7" ht="13.5">
      <c r="A1571" s="7">
        <v>1569</v>
      </c>
      <c r="B1571" s="8" t="str">
        <f>"2341202009101319512387"</f>
        <v>2341202009101319512387</v>
      </c>
      <c r="C1571" s="8" t="s">
        <v>9</v>
      </c>
      <c r="D1571" s="8" t="str">
        <f>"郑海霞"</f>
        <v>郑海霞</v>
      </c>
      <c r="E1571" s="8" t="str">
        <f t="shared" si="65"/>
        <v>女</v>
      </c>
      <c r="F1571" s="8" t="str">
        <f>"1993-11-10"</f>
        <v>1993-11-10</v>
      </c>
      <c r="G1571" s="9"/>
    </row>
    <row r="1572" spans="1:7" ht="13.5">
      <c r="A1572" s="7">
        <v>1570</v>
      </c>
      <c r="B1572" s="8" t="str">
        <f>"2341202009101331002388"</f>
        <v>2341202009101331002388</v>
      </c>
      <c r="C1572" s="8" t="s">
        <v>9</v>
      </c>
      <c r="D1572" s="8" t="str">
        <f>"符少巧"</f>
        <v>符少巧</v>
      </c>
      <c r="E1572" s="8" t="str">
        <f t="shared" si="65"/>
        <v>女</v>
      </c>
      <c r="F1572" s="8" t="str">
        <f>"1989-10-05"</f>
        <v>1989-10-05</v>
      </c>
      <c r="G1572" s="9"/>
    </row>
    <row r="1573" spans="1:7" ht="13.5">
      <c r="A1573" s="7">
        <v>1571</v>
      </c>
      <c r="B1573" s="8" t="str">
        <f>"2341202009101444202392"</f>
        <v>2341202009101444202392</v>
      </c>
      <c r="C1573" s="8" t="s">
        <v>9</v>
      </c>
      <c r="D1573" s="8" t="str">
        <f>"黄慧"</f>
        <v>黄慧</v>
      </c>
      <c r="E1573" s="8" t="str">
        <f t="shared" si="65"/>
        <v>女</v>
      </c>
      <c r="F1573" s="8" t="str">
        <f>"1992-08-28"</f>
        <v>1992-08-28</v>
      </c>
      <c r="G1573" s="9"/>
    </row>
    <row r="1574" spans="1:7" ht="13.5">
      <c r="A1574" s="7">
        <v>1572</v>
      </c>
      <c r="B1574" s="8" t="str">
        <f>"2341202009101536282397"</f>
        <v>2341202009101536282397</v>
      </c>
      <c r="C1574" s="8" t="s">
        <v>9</v>
      </c>
      <c r="D1574" s="8" t="str">
        <f>"邱海燕"</f>
        <v>邱海燕</v>
      </c>
      <c r="E1574" s="8" t="str">
        <f t="shared" si="65"/>
        <v>女</v>
      </c>
      <c r="F1574" s="8" t="str">
        <f>"1987-01-05"</f>
        <v>1987-01-05</v>
      </c>
      <c r="G1574" s="9"/>
    </row>
    <row r="1575" spans="1:7" ht="13.5">
      <c r="A1575" s="7">
        <v>1573</v>
      </c>
      <c r="B1575" s="8" t="str">
        <f>"2341202009101540032399"</f>
        <v>2341202009101540032399</v>
      </c>
      <c r="C1575" s="8" t="s">
        <v>9</v>
      </c>
      <c r="D1575" s="8" t="str">
        <f>"吴英桃"</f>
        <v>吴英桃</v>
      </c>
      <c r="E1575" s="8" t="str">
        <f t="shared" si="65"/>
        <v>女</v>
      </c>
      <c r="F1575" s="8" t="str">
        <f>"1992-11-08"</f>
        <v>1992-11-08</v>
      </c>
      <c r="G1575" s="9"/>
    </row>
    <row r="1576" spans="1:7" ht="13.5">
      <c r="A1576" s="7">
        <v>1574</v>
      </c>
      <c r="B1576" s="8" t="str">
        <f>"2341202009101654352408"</f>
        <v>2341202009101654352408</v>
      </c>
      <c r="C1576" s="8" t="s">
        <v>9</v>
      </c>
      <c r="D1576" s="8" t="str">
        <f>"林天好"</f>
        <v>林天好</v>
      </c>
      <c r="E1576" s="8" t="str">
        <f t="shared" si="65"/>
        <v>女</v>
      </c>
      <c r="F1576" s="8" t="str">
        <f>"1990-02-22"</f>
        <v>1990-02-22</v>
      </c>
      <c r="G1576" s="9"/>
    </row>
    <row r="1577" spans="1:7" ht="13.5">
      <c r="A1577" s="7">
        <v>1575</v>
      </c>
      <c r="B1577" s="8" t="str">
        <f>"2341202009101740062414"</f>
        <v>2341202009101740062414</v>
      </c>
      <c r="C1577" s="8" t="s">
        <v>9</v>
      </c>
      <c r="D1577" s="8" t="str">
        <f>"王俊"</f>
        <v>王俊</v>
      </c>
      <c r="E1577" s="8" t="str">
        <f>"男"</f>
        <v>男</v>
      </c>
      <c r="F1577" s="8" t="str">
        <f>"1987-09-03"</f>
        <v>1987-09-03</v>
      </c>
      <c r="G1577" s="9"/>
    </row>
    <row r="1578" spans="1:7" ht="13.5">
      <c r="A1578" s="7">
        <v>1576</v>
      </c>
      <c r="B1578" s="8" t="str">
        <f>"2341202009101747052415"</f>
        <v>2341202009101747052415</v>
      </c>
      <c r="C1578" s="8" t="s">
        <v>9</v>
      </c>
      <c r="D1578" s="8" t="str">
        <f>"蔚佳欣"</f>
        <v>蔚佳欣</v>
      </c>
      <c r="E1578" s="8" t="str">
        <f aca="true" t="shared" si="66" ref="E1578:E1597">"女"</f>
        <v>女</v>
      </c>
      <c r="F1578" s="8" t="str">
        <f>"1995-11-22"</f>
        <v>1995-11-22</v>
      </c>
      <c r="G1578" s="9"/>
    </row>
    <row r="1579" spans="1:7" ht="13.5">
      <c r="A1579" s="7">
        <v>1577</v>
      </c>
      <c r="B1579" s="8" t="str">
        <f>"2341202009101748512416"</f>
        <v>2341202009101748512416</v>
      </c>
      <c r="C1579" s="8" t="s">
        <v>9</v>
      </c>
      <c r="D1579" s="8" t="str">
        <f>"许永兰"</f>
        <v>许永兰</v>
      </c>
      <c r="E1579" s="8" t="str">
        <f t="shared" si="66"/>
        <v>女</v>
      </c>
      <c r="F1579" s="8" t="str">
        <f>"1995-11-07"</f>
        <v>1995-11-07</v>
      </c>
      <c r="G1579" s="9"/>
    </row>
    <row r="1580" spans="1:7" ht="13.5">
      <c r="A1580" s="7">
        <v>1578</v>
      </c>
      <c r="B1580" s="8" t="str">
        <f>"2341202009101844412421"</f>
        <v>2341202009101844412421</v>
      </c>
      <c r="C1580" s="8" t="s">
        <v>9</v>
      </c>
      <c r="D1580" s="8" t="str">
        <f>"羊丽秋"</f>
        <v>羊丽秋</v>
      </c>
      <c r="E1580" s="8" t="str">
        <f t="shared" si="66"/>
        <v>女</v>
      </c>
      <c r="F1580" s="8" t="str">
        <f>"1990-09-23"</f>
        <v>1990-09-23</v>
      </c>
      <c r="G1580" s="9"/>
    </row>
    <row r="1581" spans="1:7" ht="13.5">
      <c r="A1581" s="7">
        <v>1579</v>
      </c>
      <c r="B1581" s="8" t="str">
        <f>"2341202009101849062422"</f>
        <v>2341202009101849062422</v>
      </c>
      <c r="C1581" s="8" t="s">
        <v>9</v>
      </c>
      <c r="D1581" s="8" t="str">
        <f>"李婷"</f>
        <v>李婷</v>
      </c>
      <c r="E1581" s="8" t="str">
        <f t="shared" si="66"/>
        <v>女</v>
      </c>
      <c r="F1581" s="8" t="str">
        <f>"1994-11-04"</f>
        <v>1994-11-04</v>
      </c>
      <c r="G1581" s="9"/>
    </row>
    <row r="1582" spans="1:7" ht="13.5">
      <c r="A1582" s="7">
        <v>1580</v>
      </c>
      <c r="B1582" s="8" t="str">
        <f>"2341202009101952072425"</f>
        <v>2341202009101952072425</v>
      </c>
      <c r="C1582" s="8" t="s">
        <v>9</v>
      </c>
      <c r="D1582" s="8" t="str">
        <f>"林小琴"</f>
        <v>林小琴</v>
      </c>
      <c r="E1582" s="8" t="str">
        <f t="shared" si="66"/>
        <v>女</v>
      </c>
      <c r="F1582" s="8" t="str">
        <f>"1993-11-23"</f>
        <v>1993-11-23</v>
      </c>
      <c r="G1582" s="9"/>
    </row>
    <row r="1583" spans="1:7" ht="13.5">
      <c r="A1583" s="7">
        <v>1581</v>
      </c>
      <c r="B1583" s="8" t="str">
        <f>"2341202009102050402432"</f>
        <v>2341202009102050402432</v>
      </c>
      <c r="C1583" s="8" t="s">
        <v>9</v>
      </c>
      <c r="D1583" s="8" t="str">
        <f>"黄雪"</f>
        <v>黄雪</v>
      </c>
      <c r="E1583" s="8" t="str">
        <f t="shared" si="66"/>
        <v>女</v>
      </c>
      <c r="F1583" s="8" t="str">
        <f>"1991-05-14"</f>
        <v>1991-05-14</v>
      </c>
      <c r="G1583" s="9"/>
    </row>
    <row r="1584" spans="1:7" ht="13.5">
      <c r="A1584" s="7">
        <v>1582</v>
      </c>
      <c r="B1584" s="8" t="str">
        <f>"2341202009102119492440"</f>
        <v>2341202009102119492440</v>
      </c>
      <c r="C1584" s="8" t="s">
        <v>9</v>
      </c>
      <c r="D1584" s="8" t="str">
        <f>"蔡佳楠"</f>
        <v>蔡佳楠</v>
      </c>
      <c r="E1584" s="8" t="str">
        <f t="shared" si="66"/>
        <v>女</v>
      </c>
      <c r="F1584" s="8" t="str">
        <f>"1993-12-09"</f>
        <v>1993-12-09</v>
      </c>
      <c r="G1584" s="9"/>
    </row>
    <row r="1585" spans="1:7" ht="13.5">
      <c r="A1585" s="7">
        <v>1583</v>
      </c>
      <c r="B1585" s="8" t="str">
        <f>"2341202009102139332443"</f>
        <v>2341202009102139332443</v>
      </c>
      <c r="C1585" s="8" t="s">
        <v>9</v>
      </c>
      <c r="D1585" s="8" t="str">
        <f>"苏小珊"</f>
        <v>苏小珊</v>
      </c>
      <c r="E1585" s="8" t="str">
        <f t="shared" si="66"/>
        <v>女</v>
      </c>
      <c r="F1585" s="8" t="str">
        <f>"1990-07-06"</f>
        <v>1990-07-06</v>
      </c>
      <c r="G1585" s="9"/>
    </row>
    <row r="1586" spans="1:7" ht="13.5">
      <c r="A1586" s="7">
        <v>1584</v>
      </c>
      <c r="B1586" s="8" t="str">
        <f>"2341202009102144202444"</f>
        <v>2341202009102144202444</v>
      </c>
      <c r="C1586" s="8" t="s">
        <v>9</v>
      </c>
      <c r="D1586" s="8" t="str">
        <f>"李玉"</f>
        <v>李玉</v>
      </c>
      <c r="E1586" s="8" t="str">
        <f t="shared" si="66"/>
        <v>女</v>
      </c>
      <c r="F1586" s="8" t="str">
        <f>"1997-03-07"</f>
        <v>1997-03-07</v>
      </c>
      <c r="G1586" s="9"/>
    </row>
    <row r="1587" spans="1:7" ht="13.5">
      <c r="A1587" s="7">
        <v>1585</v>
      </c>
      <c r="B1587" s="8" t="str">
        <f>"2341202009102202382450"</f>
        <v>2341202009102202382450</v>
      </c>
      <c r="C1587" s="8" t="s">
        <v>9</v>
      </c>
      <c r="D1587" s="8" t="str">
        <f>"伍春燕"</f>
        <v>伍春燕</v>
      </c>
      <c r="E1587" s="8" t="str">
        <f t="shared" si="66"/>
        <v>女</v>
      </c>
      <c r="F1587" s="8" t="str">
        <f>"1996-07-10"</f>
        <v>1996-07-10</v>
      </c>
      <c r="G1587" s="9"/>
    </row>
    <row r="1588" spans="1:7" ht="13.5">
      <c r="A1588" s="7">
        <v>1586</v>
      </c>
      <c r="B1588" s="8" t="str">
        <f>"2341202009102208092452"</f>
        <v>2341202009102208092452</v>
      </c>
      <c r="C1588" s="8" t="s">
        <v>9</v>
      </c>
      <c r="D1588" s="8" t="str">
        <f>"林诗婷"</f>
        <v>林诗婷</v>
      </c>
      <c r="E1588" s="8" t="str">
        <f t="shared" si="66"/>
        <v>女</v>
      </c>
      <c r="F1588" s="8" t="str">
        <f>"1998-09-16"</f>
        <v>1998-09-16</v>
      </c>
      <c r="G1588" s="9"/>
    </row>
    <row r="1589" spans="1:7" ht="13.5">
      <c r="A1589" s="7">
        <v>1587</v>
      </c>
      <c r="B1589" s="8" t="str">
        <f>"2341202009102215332453"</f>
        <v>2341202009102215332453</v>
      </c>
      <c r="C1589" s="8" t="s">
        <v>9</v>
      </c>
      <c r="D1589" s="8" t="str">
        <f>"劳咪咪"</f>
        <v>劳咪咪</v>
      </c>
      <c r="E1589" s="8" t="str">
        <f t="shared" si="66"/>
        <v>女</v>
      </c>
      <c r="F1589" s="8" t="str">
        <f>"1995-10-21"</f>
        <v>1995-10-21</v>
      </c>
      <c r="G1589" s="9"/>
    </row>
    <row r="1590" spans="1:7" ht="13.5">
      <c r="A1590" s="7">
        <v>1588</v>
      </c>
      <c r="B1590" s="8" t="str">
        <f>"2341202009102235112456"</f>
        <v>2341202009102235112456</v>
      </c>
      <c r="C1590" s="8" t="s">
        <v>9</v>
      </c>
      <c r="D1590" s="8" t="str">
        <f>"王丽蓓"</f>
        <v>王丽蓓</v>
      </c>
      <c r="E1590" s="8" t="str">
        <f t="shared" si="66"/>
        <v>女</v>
      </c>
      <c r="F1590" s="8" t="str">
        <f>"1994-07-06"</f>
        <v>1994-07-06</v>
      </c>
      <c r="G1590" s="9"/>
    </row>
    <row r="1591" spans="1:7" ht="13.5">
      <c r="A1591" s="7">
        <v>1589</v>
      </c>
      <c r="B1591" s="8" t="str">
        <f>"2341202009102238182458"</f>
        <v>2341202009102238182458</v>
      </c>
      <c r="C1591" s="8" t="s">
        <v>9</v>
      </c>
      <c r="D1591" s="8" t="str">
        <f>"陈秋霞"</f>
        <v>陈秋霞</v>
      </c>
      <c r="E1591" s="8" t="str">
        <f t="shared" si="66"/>
        <v>女</v>
      </c>
      <c r="F1591" s="8" t="str">
        <f>"1995-12-05"</f>
        <v>1995-12-05</v>
      </c>
      <c r="G1591" s="9"/>
    </row>
    <row r="1592" spans="1:7" ht="13.5">
      <c r="A1592" s="7">
        <v>1590</v>
      </c>
      <c r="B1592" s="8" t="str">
        <f>"2341202009102317242463"</f>
        <v>2341202009102317242463</v>
      </c>
      <c r="C1592" s="8" t="s">
        <v>9</v>
      </c>
      <c r="D1592" s="8" t="str">
        <f>"陈小桂"</f>
        <v>陈小桂</v>
      </c>
      <c r="E1592" s="8" t="str">
        <f t="shared" si="66"/>
        <v>女</v>
      </c>
      <c r="F1592" s="8" t="str">
        <f>"1991-10-22"</f>
        <v>1991-10-22</v>
      </c>
      <c r="G1592" s="9"/>
    </row>
    <row r="1593" spans="1:7" ht="13.5">
      <c r="A1593" s="7">
        <v>1591</v>
      </c>
      <c r="B1593" s="8" t="str">
        <f>"2341202009102335042466"</f>
        <v>2341202009102335042466</v>
      </c>
      <c r="C1593" s="8" t="s">
        <v>9</v>
      </c>
      <c r="D1593" s="8" t="str">
        <f>"王丽娃"</f>
        <v>王丽娃</v>
      </c>
      <c r="E1593" s="8" t="str">
        <f t="shared" si="66"/>
        <v>女</v>
      </c>
      <c r="F1593" s="8" t="str">
        <f>"1996-10-18"</f>
        <v>1996-10-18</v>
      </c>
      <c r="G1593" s="9"/>
    </row>
    <row r="1594" spans="1:7" ht="13.5">
      <c r="A1594" s="7">
        <v>1592</v>
      </c>
      <c r="B1594" s="8" t="str">
        <f>"2341202009110013152469"</f>
        <v>2341202009110013152469</v>
      </c>
      <c r="C1594" s="8" t="s">
        <v>9</v>
      </c>
      <c r="D1594" s="8" t="str">
        <f>"黎宁宁"</f>
        <v>黎宁宁</v>
      </c>
      <c r="E1594" s="8" t="str">
        <f t="shared" si="66"/>
        <v>女</v>
      </c>
      <c r="F1594" s="8" t="str">
        <f>"1991-11-28"</f>
        <v>1991-11-28</v>
      </c>
      <c r="G1594" s="9"/>
    </row>
    <row r="1595" spans="1:7" ht="13.5">
      <c r="A1595" s="7">
        <v>1593</v>
      </c>
      <c r="B1595" s="8" t="str">
        <f>"2341202009110754262471"</f>
        <v>2341202009110754262471</v>
      </c>
      <c r="C1595" s="8" t="s">
        <v>9</v>
      </c>
      <c r="D1595" s="8" t="str">
        <f>"高美石"</f>
        <v>高美石</v>
      </c>
      <c r="E1595" s="8" t="str">
        <f t="shared" si="66"/>
        <v>女</v>
      </c>
      <c r="F1595" s="8" t="str">
        <f>"1993-09-07"</f>
        <v>1993-09-07</v>
      </c>
      <c r="G1595" s="9"/>
    </row>
    <row r="1596" spans="1:7" ht="13.5">
      <c r="A1596" s="7">
        <v>1594</v>
      </c>
      <c r="B1596" s="8" t="str">
        <f>"2341202009110813092472"</f>
        <v>2341202009110813092472</v>
      </c>
      <c r="C1596" s="8" t="s">
        <v>9</v>
      </c>
      <c r="D1596" s="8" t="str">
        <f>"李云丹"</f>
        <v>李云丹</v>
      </c>
      <c r="E1596" s="8" t="str">
        <f t="shared" si="66"/>
        <v>女</v>
      </c>
      <c r="F1596" s="8" t="str">
        <f>"1993-04-20"</f>
        <v>1993-04-20</v>
      </c>
      <c r="G1596" s="9"/>
    </row>
    <row r="1597" spans="1:7" ht="13.5">
      <c r="A1597" s="7">
        <v>1595</v>
      </c>
      <c r="B1597" s="8" t="str">
        <f>"2341202009110911152477"</f>
        <v>2341202009110911152477</v>
      </c>
      <c r="C1597" s="8" t="s">
        <v>9</v>
      </c>
      <c r="D1597" s="8" t="str">
        <f>"羊玉夏"</f>
        <v>羊玉夏</v>
      </c>
      <c r="E1597" s="8" t="str">
        <f t="shared" si="66"/>
        <v>女</v>
      </c>
      <c r="F1597" s="8" t="str">
        <f>"1996-04-18"</f>
        <v>1996-04-18</v>
      </c>
      <c r="G1597" s="9"/>
    </row>
    <row r="1598" spans="1:7" ht="13.5">
      <c r="A1598" s="7">
        <v>1596</v>
      </c>
      <c r="B1598" s="8" t="str">
        <f>"2341202009110912032479"</f>
        <v>2341202009110912032479</v>
      </c>
      <c r="C1598" s="8" t="s">
        <v>9</v>
      </c>
      <c r="D1598" s="8" t="str">
        <f>"林升恒"</f>
        <v>林升恒</v>
      </c>
      <c r="E1598" s="8" t="str">
        <f>"男"</f>
        <v>男</v>
      </c>
      <c r="F1598" s="8" t="str">
        <f>"1992-10-03"</f>
        <v>1992-10-03</v>
      </c>
      <c r="G1598" s="9"/>
    </row>
    <row r="1599" spans="1:7" ht="13.5">
      <c r="A1599" s="7">
        <v>1597</v>
      </c>
      <c r="B1599" s="8" t="str">
        <f>"2341202009110956352490"</f>
        <v>2341202009110956352490</v>
      </c>
      <c r="C1599" s="8" t="s">
        <v>9</v>
      </c>
      <c r="D1599" s="8" t="str">
        <f>"韩雪"</f>
        <v>韩雪</v>
      </c>
      <c r="E1599" s="8" t="str">
        <f aca="true" t="shared" si="67" ref="E1599:E1618">"女"</f>
        <v>女</v>
      </c>
      <c r="F1599" s="8" t="str">
        <f>"1993-04-20"</f>
        <v>1993-04-20</v>
      </c>
      <c r="G1599" s="9"/>
    </row>
    <row r="1600" spans="1:7" ht="13.5">
      <c r="A1600" s="7">
        <v>1598</v>
      </c>
      <c r="B1600" s="8" t="str">
        <f>"2341202009110957182491"</f>
        <v>2341202009110957182491</v>
      </c>
      <c r="C1600" s="8" t="s">
        <v>9</v>
      </c>
      <c r="D1600" s="8" t="str">
        <f>"郭善梅"</f>
        <v>郭善梅</v>
      </c>
      <c r="E1600" s="8" t="str">
        <f t="shared" si="67"/>
        <v>女</v>
      </c>
      <c r="F1600" s="8" t="str">
        <f>"1994-10-05"</f>
        <v>1994-10-05</v>
      </c>
      <c r="G1600" s="9"/>
    </row>
    <row r="1601" spans="1:7" ht="13.5">
      <c r="A1601" s="7">
        <v>1599</v>
      </c>
      <c r="B1601" s="8" t="str">
        <f>"2341202009111004472493"</f>
        <v>2341202009111004472493</v>
      </c>
      <c r="C1601" s="8" t="s">
        <v>9</v>
      </c>
      <c r="D1601" s="8" t="str">
        <f>"冼恩嫚"</f>
        <v>冼恩嫚</v>
      </c>
      <c r="E1601" s="8" t="str">
        <f t="shared" si="67"/>
        <v>女</v>
      </c>
      <c r="F1601" s="8" t="str">
        <f>"1992-05-27"</f>
        <v>1992-05-27</v>
      </c>
      <c r="G1601" s="9"/>
    </row>
    <row r="1602" spans="1:7" ht="13.5">
      <c r="A1602" s="7">
        <v>1600</v>
      </c>
      <c r="B1602" s="8" t="str">
        <f>"2341202009111004582494"</f>
        <v>2341202009111004582494</v>
      </c>
      <c r="C1602" s="8" t="s">
        <v>9</v>
      </c>
      <c r="D1602" s="8" t="str">
        <f>"叶朝娜"</f>
        <v>叶朝娜</v>
      </c>
      <c r="E1602" s="8" t="str">
        <f t="shared" si="67"/>
        <v>女</v>
      </c>
      <c r="F1602" s="8" t="str">
        <f>"1991-06-10"</f>
        <v>1991-06-10</v>
      </c>
      <c r="G1602" s="9"/>
    </row>
    <row r="1603" spans="1:7" ht="13.5">
      <c r="A1603" s="7">
        <v>1601</v>
      </c>
      <c r="B1603" s="8" t="str">
        <f>"2341202009111010292496"</f>
        <v>2341202009111010292496</v>
      </c>
      <c r="C1603" s="8" t="s">
        <v>9</v>
      </c>
      <c r="D1603" s="8" t="str">
        <f>"廖冰冰"</f>
        <v>廖冰冰</v>
      </c>
      <c r="E1603" s="8" t="str">
        <f t="shared" si="67"/>
        <v>女</v>
      </c>
      <c r="F1603" s="8" t="str">
        <f>"1995-07-23"</f>
        <v>1995-07-23</v>
      </c>
      <c r="G1603" s="9"/>
    </row>
    <row r="1604" spans="1:7" ht="13.5">
      <c r="A1604" s="7">
        <v>1602</v>
      </c>
      <c r="B1604" s="8" t="str">
        <f>"2341202009111024202499"</f>
        <v>2341202009111024202499</v>
      </c>
      <c r="C1604" s="8" t="s">
        <v>9</v>
      </c>
      <c r="D1604" s="8" t="str">
        <f>"吉琼婷"</f>
        <v>吉琼婷</v>
      </c>
      <c r="E1604" s="8" t="str">
        <f t="shared" si="67"/>
        <v>女</v>
      </c>
      <c r="F1604" s="8" t="str">
        <f>"1994-06-23"</f>
        <v>1994-06-23</v>
      </c>
      <c r="G1604" s="9"/>
    </row>
    <row r="1605" spans="1:7" ht="13.5">
      <c r="A1605" s="7">
        <v>1603</v>
      </c>
      <c r="B1605" s="8" t="str">
        <f>"2341202009111052372503"</f>
        <v>2341202009111052372503</v>
      </c>
      <c r="C1605" s="8" t="s">
        <v>9</v>
      </c>
      <c r="D1605" s="8" t="str">
        <f>"陈丽娇"</f>
        <v>陈丽娇</v>
      </c>
      <c r="E1605" s="8" t="str">
        <f t="shared" si="67"/>
        <v>女</v>
      </c>
      <c r="F1605" s="8" t="str">
        <f>"1991-11-20"</f>
        <v>1991-11-20</v>
      </c>
      <c r="G1605" s="9"/>
    </row>
    <row r="1606" spans="1:7" ht="13.5">
      <c r="A1606" s="7">
        <v>1604</v>
      </c>
      <c r="B1606" s="8" t="str">
        <f>"2341202009111150132512"</f>
        <v>2341202009111150132512</v>
      </c>
      <c r="C1606" s="8" t="s">
        <v>9</v>
      </c>
      <c r="D1606" s="8" t="str">
        <f>"麦小玉"</f>
        <v>麦小玉</v>
      </c>
      <c r="E1606" s="8" t="str">
        <f t="shared" si="67"/>
        <v>女</v>
      </c>
      <c r="F1606" s="8" t="str">
        <f>"1995-10-25"</f>
        <v>1995-10-25</v>
      </c>
      <c r="G1606" s="9"/>
    </row>
    <row r="1607" spans="1:7" ht="13.5">
      <c r="A1607" s="7">
        <v>1605</v>
      </c>
      <c r="B1607" s="8" t="str">
        <f>"2341202009111152362513"</f>
        <v>2341202009111152362513</v>
      </c>
      <c r="C1607" s="8" t="s">
        <v>9</v>
      </c>
      <c r="D1607" s="8" t="str">
        <f>"邓春燕"</f>
        <v>邓春燕</v>
      </c>
      <c r="E1607" s="8" t="str">
        <f t="shared" si="67"/>
        <v>女</v>
      </c>
      <c r="F1607" s="8" t="str">
        <f>"1995-08-13"</f>
        <v>1995-08-13</v>
      </c>
      <c r="G1607" s="9"/>
    </row>
    <row r="1608" spans="1:7" ht="13.5">
      <c r="A1608" s="7">
        <v>1606</v>
      </c>
      <c r="B1608" s="8" t="str">
        <f>"2341202009111312452521"</f>
        <v>2341202009111312452521</v>
      </c>
      <c r="C1608" s="8" t="s">
        <v>9</v>
      </c>
      <c r="D1608" s="8" t="str">
        <f>"王文婷"</f>
        <v>王文婷</v>
      </c>
      <c r="E1608" s="8" t="str">
        <f t="shared" si="67"/>
        <v>女</v>
      </c>
      <c r="F1608" s="8" t="str">
        <f>"1993-10-10"</f>
        <v>1993-10-10</v>
      </c>
      <c r="G1608" s="9"/>
    </row>
    <row r="1609" spans="1:7" ht="13.5">
      <c r="A1609" s="7">
        <v>1607</v>
      </c>
      <c r="B1609" s="8" t="str">
        <f>"2341202009111517062536"</f>
        <v>2341202009111517062536</v>
      </c>
      <c r="C1609" s="8" t="s">
        <v>9</v>
      </c>
      <c r="D1609" s="8" t="str">
        <f>"文子慧"</f>
        <v>文子慧</v>
      </c>
      <c r="E1609" s="8" t="str">
        <f t="shared" si="67"/>
        <v>女</v>
      </c>
      <c r="F1609" s="8" t="str">
        <f>"1997-08-18"</f>
        <v>1997-08-18</v>
      </c>
      <c r="G1609" s="9"/>
    </row>
    <row r="1610" spans="1:7" ht="13.5">
      <c r="A1610" s="7">
        <v>1608</v>
      </c>
      <c r="B1610" s="8" t="str">
        <f>"2341202009111525472538"</f>
        <v>2341202009111525472538</v>
      </c>
      <c r="C1610" s="8" t="s">
        <v>9</v>
      </c>
      <c r="D1610" s="8" t="str">
        <f>"胡昌宇"</f>
        <v>胡昌宇</v>
      </c>
      <c r="E1610" s="8" t="str">
        <f t="shared" si="67"/>
        <v>女</v>
      </c>
      <c r="F1610" s="8" t="str">
        <f>"1996-04-28"</f>
        <v>1996-04-28</v>
      </c>
      <c r="G1610" s="9"/>
    </row>
    <row r="1611" spans="1:7" ht="13.5">
      <c r="A1611" s="7">
        <v>1609</v>
      </c>
      <c r="B1611" s="8" t="str">
        <f>"2341202009111527282539"</f>
        <v>2341202009111527282539</v>
      </c>
      <c r="C1611" s="8" t="s">
        <v>9</v>
      </c>
      <c r="D1611" s="8" t="str">
        <f>"王邓"</f>
        <v>王邓</v>
      </c>
      <c r="E1611" s="8" t="str">
        <f t="shared" si="67"/>
        <v>女</v>
      </c>
      <c r="F1611" s="8" t="str">
        <f>"1994-01-09"</f>
        <v>1994-01-09</v>
      </c>
      <c r="G1611" s="9"/>
    </row>
    <row r="1612" spans="1:7" ht="13.5">
      <c r="A1612" s="7">
        <v>1610</v>
      </c>
      <c r="B1612" s="8" t="str">
        <f>"2341202009111537052540"</f>
        <v>2341202009111537052540</v>
      </c>
      <c r="C1612" s="8" t="s">
        <v>9</v>
      </c>
      <c r="D1612" s="8" t="str">
        <f>"邓春妹"</f>
        <v>邓春妹</v>
      </c>
      <c r="E1612" s="8" t="str">
        <f t="shared" si="67"/>
        <v>女</v>
      </c>
      <c r="F1612" s="8" t="str">
        <f>"1991-09-25"</f>
        <v>1991-09-25</v>
      </c>
      <c r="G1612" s="9"/>
    </row>
    <row r="1613" spans="1:7" ht="13.5">
      <c r="A1613" s="7">
        <v>1611</v>
      </c>
      <c r="B1613" s="8" t="str">
        <f>"2341202009111558182545"</f>
        <v>2341202009111558182545</v>
      </c>
      <c r="C1613" s="8" t="s">
        <v>9</v>
      </c>
      <c r="D1613" s="8" t="str">
        <f>"王宝嫦"</f>
        <v>王宝嫦</v>
      </c>
      <c r="E1613" s="8" t="str">
        <f t="shared" si="67"/>
        <v>女</v>
      </c>
      <c r="F1613" s="8" t="str">
        <f>"1994-09-01"</f>
        <v>1994-09-01</v>
      </c>
      <c r="G1613" s="9"/>
    </row>
    <row r="1614" spans="1:7" ht="13.5">
      <c r="A1614" s="7">
        <v>1612</v>
      </c>
      <c r="B1614" s="8" t="str">
        <f>"2341202009111619492552"</f>
        <v>2341202009111619492552</v>
      </c>
      <c r="C1614" s="8" t="s">
        <v>9</v>
      </c>
      <c r="D1614" s="8" t="str">
        <f>"陈菊"</f>
        <v>陈菊</v>
      </c>
      <c r="E1614" s="8" t="str">
        <f t="shared" si="67"/>
        <v>女</v>
      </c>
      <c r="F1614" s="8" t="str">
        <f>"1992-06-15"</f>
        <v>1992-06-15</v>
      </c>
      <c r="G1614" s="9"/>
    </row>
    <row r="1615" spans="1:7" ht="13.5">
      <c r="A1615" s="7">
        <v>1613</v>
      </c>
      <c r="B1615" s="8" t="str">
        <f>"2341202009111651172559"</f>
        <v>2341202009111651172559</v>
      </c>
      <c r="C1615" s="8" t="s">
        <v>9</v>
      </c>
      <c r="D1615" s="8" t="str">
        <f>"陈君涯"</f>
        <v>陈君涯</v>
      </c>
      <c r="E1615" s="8" t="str">
        <f t="shared" si="67"/>
        <v>女</v>
      </c>
      <c r="F1615" s="8" t="str">
        <f>"1998-05-18"</f>
        <v>1998-05-18</v>
      </c>
      <c r="G1615" s="9"/>
    </row>
    <row r="1616" spans="1:7" ht="13.5">
      <c r="A1616" s="7">
        <v>1614</v>
      </c>
      <c r="B1616" s="8" t="str">
        <f>"2341202009111710572562"</f>
        <v>2341202009111710572562</v>
      </c>
      <c r="C1616" s="8" t="s">
        <v>9</v>
      </c>
      <c r="D1616" s="8" t="str">
        <f>"李梦梅"</f>
        <v>李梦梅</v>
      </c>
      <c r="E1616" s="8" t="str">
        <f t="shared" si="67"/>
        <v>女</v>
      </c>
      <c r="F1616" s="8" t="str">
        <f>"1991-09-09"</f>
        <v>1991-09-09</v>
      </c>
      <c r="G1616" s="9"/>
    </row>
    <row r="1617" spans="1:7" ht="13.5">
      <c r="A1617" s="7">
        <v>1615</v>
      </c>
      <c r="B1617" s="8" t="str">
        <f>"2341202009111757422567"</f>
        <v>2341202009111757422567</v>
      </c>
      <c r="C1617" s="8" t="s">
        <v>9</v>
      </c>
      <c r="D1617" s="8" t="str">
        <f>"陈茹"</f>
        <v>陈茹</v>
      </c>
      <c r="E1617" s="8" t="str">
        <f t="shared" si="67"/>
        <v>女</v>
      </c>
      <c r="F1617" s="8" t="str">
        <f>"1989-11-15"</f>
        <v>1989-11-15</v>
      </c>
      <c r="G1617" s="9"/>
    </row>
    <row r="1618" spans="1:7" ht="13.5">
      <c r="A1618" s="7">
        <v>1616</v>
      </c>
      <c r="B1618" s="8" t="str">
        <f>"2341202009111823252571"</f>
        <v>2341202009111823252571</v>
      </c>
      <c r="C1618" s="8" t="s">
        <v>9</v>
      </c>
      <c r="D1618" s="8" t="str">
        <f>"徐萍"</f>
        <v>徐萍</v>
      </c>
      <c r="E1618" s="8" t="str">
        <f t="shared" si="67"/>
        <v>女</v>
      </c>
      <c r="F1618" s="8" t="str">
        <f>"1996-08-12"</f>
        <v>1996-08-12</v>
      </c>
      <c r="G1618" s="9"/>
    </row>
    <row r="1619" spans="1:7" ht="13.5">
      <c r="A1619" s="7">
        <v>1617</v>
      </c>
      <c r="B1619" s="8" t="str">
        <f>"2341202009111838002575"</f>
        <v>2341202009111838002575</v>
      </c>
      <c r="C1619" s="8" t="s">
        <v>9</v>
      </c>
      <c r="D1619" s="8" t="str">
        <f>"王政深"</f>
        <v>王政深</v>
      </c>
      <c r="E1619" s="8" t="str">
        <f>"男"</f>
        <v>男</v>
      </c>
      <c r="F1619" s="8" t="str">
        <f>"1991-08-10"</f>
        <v>1991-08-10</v>
      </c>
      <c r="G1619" s="9"/>
    </row>
    <row r="1620" spans="1:7" ht="13.5">
      <c r="A1620" s="7">
        <v>1618</v>
      </c>
      <c r="B1620" s="8" t="str">
        <f>"2341202009111927072582"</f>
        <v>2341202009111927072582</v>
      </c>
      <c r="C1620" s="8" t="s">
        <v>9</v>
      </c>
      <c r="D1620" s="8" t="str">
        <f>"刘畅"</f>
        <v>刘畅</v>
      </c>
      <c r="E1620" s="8" t="str">
        <f>"女"</f>
        <v>女</v>
      </c>
      <c r="F1620" s="8" t="str">
        <f>"1987-01-08"</f>
        <v>1987-01-08</v>
      </c>
      <c r="G1620" s="9"/>
    </row>
    <row r="1621" spans="1:7" ht="13.5">
      <c r="A1621" s="7">
        <v>1619</v>
      </c>
      <c r="B1621" s="8" t="str">
        <f>"2341202009112001292585"</f>
        <v>2341202009112001292585</v>
      </c>
      <c r="C1621" s="8" t="s">
        <v>9</v>
      </c>
      <c r="D1621" s="8" t="str">
        <f>"陈惠音"</f>
        <v>陈惠音</v>
      </c>
      <c r="E1621" s="8" t="str">
        <f>"女"</f>
        <v>女</v>
      </c>
      <c r="F1621" s="8" t="str">
        <f>"1991-10-04"</f>
        <v>1991-10-04</v>
      </c>
      <c r="G1621" s="9"/>
    </row>
    <row r="1622" spans="1:7" ht="13.5">
      <c r="A1622" s="7">
        <v>1620</v>
      </c>
      <c r="B1622" s="8" t="str">
        <f>"2341202009112013002589"</f>
        <v>2341202009112013002589</v>
      </c>
      <c r="C1622" s="8" t="s">
        <v>9</v>
      </c>
      <c r="D1622" s="8" t="str">
        <f>"陈川州"</f>
        <v>陈川州</v>
      </c>
      <c r="E1622" s="8" t="str">
        <f>"男"</f>
        <v>男</v>
      </c>
      <c r="F1622" s="8" t="str">
        <f>"1997-10-04"</f>
        <v>1997-10-04</v>
      </c>
      <c r="G1622" s="9"/>
    </row>
    <row r="1623" spans="1:7" ht="13.5">
      <c r="A1623" s="7">
        <v>1621</v>
      </c>
      <c r="B1623" s="8" t="str">
        <f>"2341202009112117352597"</f>
        <v>2341202009112117352597</v>
      </c>
      <c r="C1623" s="8" t="s">
        <v>9</v>
      </c>
      <c r="D1623" s="8" t="str">
        <f>"卓文轩"</f>
        <v>卓文轩</v>
      </c>
      <c r="E1623" s="8" t="str">
        <f aca="true" t="shared" si="68" ref="E1623:E1667">"女"</f>
        <v>女</v>
      </c>
      <c r="F1623" s="8" t="str">
        <f>"1992-07-03"</f>
        <v>1992-07-03</v>
      </c>
      <c r="G1623" s="9"/>
    </row>
    <row r="1624" spans="1:7" ht="13.5">
      <c r="A1624" s="7">
        <v>1622</v>
      </c>
      <c r="B1624" s="8" t="str">
        <f>"2341202009112131532600"</f>
        <v>2341202009112131532600</v>
      </c>
      <c r="C1624" s="8" t="s">
        <v>9</v>
      </c>
      <c r="D1624" s="8" t="str">
        <f>"王雪丹"</f>
        <v>王雪丹</v>
      </c>
      <c r="E1624" s="8" t="str">
        <f t="shared" si="68"/>
        <v>女</v>
      </c>
      <c r="F1624" s="8" t="str">
        <f>"1996-09-25"</f>
        <v>1996-09-25</v>
      </c>
      <c r="G1624" s="9"/>
    </row>
    <row r="1625" spans="1:7" ht="13.5">
      <c r="A1625" s="7">
        <v>1623</v>
      </c>
      <c r="B1625" s="8" t="str">
        <f>"2341202009112224232606"</f>
        <v>2341202009112224232606</v>
      </c>
      <c r="C1625" s="8" t="s">
        <v>9</v>
      </c>
      <c r="D1625" s="8" t="str">
        <f>"祁符萍"</f>
        <v>祁符萍</v>
      </c>
      <c r="E1625" s="8" t="str">
        <f t="shared" si="68"/>
        <v>女</v>
      </c>
      <c r="F1625" s="8" t="str">
        <f>"1989-08-25"</f>
        <v>1989-08-25</v>
      </c>
      <c r="G1625" s="9"/>
    </row>
    <row r="1626" spans="1:7" ht="13.5">
      <c r="A1626" s="7">
        <v>1624</v>
      </c>
      <c r="B1626" s="8" t="str">
        <f>"2341202009112233412608"</f>
        <v>2341202009112233412608</v>
      </c>
      <c r="C1626" s="8" t="s">
        <v>9</v>
      </c>
      <c r="D1626" s="8" t="str">
        <f>"刘玉华"</f>
        <v>刘玉华</v>
      </c>
      <c r="E1626" s="8" t="str">
        <f t="shared" si="68"/>
        <v>女</v>
      </c>
      <c r="F1626" s="8" t="str">
        <f>"1997-03-05"</f>
        <v>1997-03-05</v>
      </c>
      <c r="G1626" s="9"/>
    </row>
    <row r="1627" spans="1:7" ht="13.5">
      <c r="A1627" s="7">
        <v>1625</v>
      </c>
      <c r="B1627" s="8" t="str">
        <f>"2341202009112345012616"</f>
        <v>2341202009112345012616</v>
      </c>
      <c r="C1627" s="8" t="s">
        <v>9</v>
      </c>
      <c r="D1627" s="8" t="str">
        <f>"王爱花"</f>
        <v>王爱花</v>
      </c>
      <c r="E1627" s="8" t="str">
        <f t="shared" si="68"/>
        <v>女</v>
      </c>
      <c r="F1627" s="8" t="str">
        <f>"1985-08-21"</f>
        <v>1985-08-21</v>
      </c>
      <c r="G1627" s="9"/>
    </row>
    <row r="1628" spans="1:7" ht="13.5">
      <c r="A1628" s="7">
        <v>1626</v>
      </c>
      <c r="B1628" s="8" t="str">
        <f>"2341202009120826522623"</f>
        <v>2341202009120826522623</v>
      </c>
      <c r="C1628" s="8" t="s">
        <v>9</v>
      </c>
      <c r="D1628" s="8" t="str">
        <f>"欧金霞"</f>
        <v>欧金霞</v>
      </c>
      <c r="E1628" s="8" t="str">
        <f t="shared" si="68"/>
        <v>女</v>
      </c>
      <c r="F1628" s="8" t="str">
        <f>"1990-09-03"</f>
        <v>1990-09-03</v>
      </c>
      <c r="G1628" s="9"/>
    </row>
    <row r="1629" spans="1:7" ht="13.5">
      <c r="A1629" s="7">
        <v>1627</v>
      </c>
      <c r="B1629" s="8" t="str">
        <f>"2341202009120946342630"</f>
        <v>2341202009120946342630</v>
      </c>
      <c r="C1629" s="8" t="s">
        <v>9</v>
      </c>
      <c r="D1629" s="8" t="str">
        <f>"王少玮"</f>
        <v>王少玮</v>
      </c>
      <c r="E1629" s="8" t="str">
        <f t="shared" si="68"/>
        <v>女</v>
      </c>
      <c r="F1629" s="8" t="str">
        <f>"1996-09-12"</f>
        <v>1996-09-12</v>
      </c>
      <c r="G1629" s="9"/>
    </row>
    <row r="1630" spans="1:7" ht="13.5">
      <c r="A1630" s="7">
        <v>1628</v>
      </c>
      <c r="B1630" s="8" t="str">
        <f>"2341202009120951252631"</f>
        <v>2341202009120951252631</v>
      </c>
      <c r="C1630" s="8" t="s">
        <v>9</v>
      </c>
      <c r="D1630" s="8" t="str">
        <f>"王茹意"</f>
        <v>王茹意</v>
      </c>
      <c r="E1630" s="8" t="str">
        <f t="shared" si="68"/>
        <v>女</v>
      </c>
      <c r="F1630" s="8" t="str">
        <f>"1996-05-30"</f>
        <v>1996-05-30</v>
      </c>
      <c r="G1630" s="9"/>
    </row>
    <row r="1631" spans="1:7" ht="13.5">
      <c r="A1631" s="7">
        <v>1629</v>
      </c>
      <c r="B1631" s="8" t="str">
        <f>"2341202009120952302632"</f>
        <v>2341202009120952302632</v>
      </c>
      <c r="C1631" s="8" t="s">
        <v>9</v>
      </c>
      <c r="D1631" s="8" t="str">
        <f>"王琼芳"</f>
        <v>王琼芳</v>
      </c>
      <c r="E1631" s="8" t="str">
        <f t="shared" si="68"/>
        <v>女</v>
      </c>
      <c r="F1631" s="8" t="str">
        <f>"1993-09-15"</f>
        <v>1993-09-15</v>
      </c>
      <c r="G1631" s="9"/>
    </row>
    <row r="1632" spans="1:7" ht="13.5">
      <c r="A1632" s="7">
        <v>1630</v>
      </c>
      <c r="B1632" s="8" t="str">
        <f>"2341202009121025392639"</f>
        <v>2341202009121025392639</v>
      </c>
      <c r="C1632" s="8" t="s">
        <v>9</v>
      </c>
      <c r="D1632" s="8" t="str">
        <f>"曾其连"</f>
        <v>曾其连</v>
      </c>
      <c r="E1632" s="8" t="str">
        <f t="shared" si="68"/>
        <v>女</v>
      </c>
      <c r="F1632" s="8" t="str">
        <f>"1990-05-18"</f>
        <v>1990-05-18</v>
      </c>
      <c r="G1632" s="9"/>
    </row>
    <row r="1633" spans="1:7" ht="13.5">
      <c r="A1633" s="7">
        <v>1631</v>
      </c>
      <c r="B1633" s="8" t="str">
        <f>"2341202009121046392643"</f>
        <v>2341202009121046392643</v>
      </c>
      <c r="C1633" s="8" t="s">
        <v>9</v>
      </c>
      <c r="D1633" s="8" t="str">
        <f>"杨秀坤"</f>
        <v>杨秀坤</v>
      </c>
      <c r="E1633" s="8" t="str">
        <f t="shared" si="68"/>
        <v>女</v>
      </c>
      <c r="F1633" s="8" t="str">
        <f>"1993-05-07"</f>
        <v>1993-05-07</v>
      </c>
      <c r="G1633" s="9"/>
    </row>
    <row r="1634" spans="1:7" ht="13.5">
      <c r="A1634" s="7">
        <v>1632</v>
      </c>
      <c r="B1634" s="8" t="str">
        <f>"2341202009121054252644"</f>
        <v>2341202009121054252644</v>
      </c>
      <c r="C1634" s="8" t="s">
        <v>9</v>
      </c>
      <c r="D1634" s="8" t="str">
        <f>"苏美玲"</f>
        <v>苏美玲</v>
      </c>
      <c r="E1634" s="8" t="str">
        <f t="shared" si="68"/>
        <v>女</v>
      </c>
      <c r="F1634" s="8" t="str">
        <f>"1991-09-08"</f>
        <v>1991-09-08</v>
      </c>
      <c r="G1634" s="9"/>
    </row>
    <row r="1635" spans="1:7" ht="13.5">
      <c r="A1635" s="7">
        <v>1633</v>
      </c>
      <c r="B1635" s="8" t="str">
        <f>"2341202009121127342653"</f>
        <v>2341202009121127342653</v>
      </c>
      <c r="C1635" s="8" t="s">
        <v>9</v>
      </c>
      <c r="D1635" s="8" t="str">
        <f>"陈肖婷"</f>
        <v>陈肖婷</v>
      </c>
      <c r="E1635" s="8" t="str">
        <f t="shared" si="68"/>
        <v>女</v>
      </c>
      <c r="F1635" s="8" t="str">
        <f>"1992-02-17"</f>
        <v>1992-02-17</v>
      </c>
      <c r="G1635" s="9"/>
    </row>
    <row r="1636" spans="1:7" ht="13.5">
      <c r="A1636" s="7">
        <v>1634</v>
      </c>
      <c r="B1636" s="8" t="str">
        <f>"2341202009121131002654"</f>
        <v>2341202009121131002654</v>
      </c>
      <c r="C1636" s="8" t="s">
        <v>9</v>
      </c>
      <c r="D1636" s="8" t="str">
        <f>"李江玲"</f>
        <v>李江玲</v>
      </c>
      <c r="E1636" s="8" t="str">
        <f t="shared" si="68"/>
        <v>女</v>
      </c>
      <c r="F1636" s="8" t="str">
        <f>"1994-08-24"</f>
        <v>1994-08-24</v>
      </c>
      <c r="G1636" s="9"/>
    </row>
    <row r="1637" spans="1:7" ht="13.5">
      <c r="A1637" s="7">
        <v>1635</v>
      </c>
      <c r="B1637" s="8" t="str">
        <f>"2341202009121159082660"</f>
        <v>2341202009121159082660</v>
      </c>
      <c r="C1637" s="8" t="s">
        <v>9</v>
      </c>
      <c r="D1637" s="8" t="str">
        <f>"张宝月"</f>
        <v>张宝月</v>
      </c>
      <c r="E1637" s="8" t="str">
        <f t="shared" si="68"/>
        <v>女</v>
      </c>
      <c r="F1637" s="8" t="str">
        <f>"1988-09-15"</f>
        <v>1988-09-15</v>
      </c>
      <c r="G1637" s="9"/>
    </row>
    <row r="1638" spans="1:7" ht="13.5">
      <c r="A1638" s="7">
        <v>1636</v>
      </c>
      <c r="B1638" s="8" t="str">
        <f>"2341202009121253452670"</f>
        <v>2341202009121253452670</v>
      </c>
      <c r="C1638" s="8" t="s">
        <v>9</v>
      </c>
      <c r="D1638" s="8" t="str">
        <f>"陈金凡"</f>
        <v>陈金凡</v>
      </c>
      <c r="E1638" s="8" t="str">
        <f t="shared" si="68"/>
        <v>女</v>
      </c>
      <c r="F1638" s="8" t="str">
        <f>"1995-05-01"</f>
        <v>1995-05-01</v>
      </c>
      <c r="G1638" s="9"/>
    </row>
    <row r="1639" spans="1:7" ht="13.5">
      <c r="A1639" s="7">
        <v>1637</v>
      </c>
      <c r="B1639" s="8" t="str">
        <f>"2341202009121253552671"</f>
        <v>2341202009121253552671</v>
      </c>
      <c r="C1639" s="8" t="s">
        <v>9</v>
      </c>
      <c r="D1639" s="8" t="str">
        <f>"陈玲"</f>
        <v>陈玲</v>
      </c>
      <c r="E1639" s="8" t="str">
        <f t="shared" si="68"/>
        <v>女</v>
      </c>
      <c r="F1639" s="8" t="str">
        <f>"1996-05-28"</f>
        <v>1996-05-28</v>
      </c>
      <c r="G1639" s="9"/>
    </row>
    <row r="1640" spans="1:7" ht="13.5">
      <c r="A1640" s="7">
        <v>1638</v>
      </c>
      <c r="B1640" s="8" t="str">
        <f>"2341202009121309202674"</f>
        <v>2341202009121309202674</v>
      </c>
      <c r="C1640" s="8" t="s">
        <v>9</v>
      </c>
      <c r="D1640" s="8" t="str">
        <f>"吴阿明"</f>
        <v>吴阿明</v>
      </c>
      <c r="E1640" s="8" t="str">
        <f t="shared" si="68"/>
        <v>女</v>
      </c>
      <c r="F1640" s="8" t="str">
        <f>"1991-12-28"</f>
        <v>1991-12-28</v>
      </c>
      <c r="G1640" s="9"/>
    </row>
    <row r="1641" spans="1:7" ht="13.5">
      <c r="A1641" s="7">
        <v>1639</v>
      </c>
      <c r="B1641" s="8" t="str">
        <f>"2341202009121312232675"</f>
        <v>2341202009121312232675</v>
      </c>
      <c r="C1641" s="8" t="s">
        <v>9</v>
      </c>
      <c r="D1641" s="8" t="str">
        <f>"胡正汝"</f>
        <v>胡正汝</v>
      </c>
      <c r="E1641" s="8" t="str">
        <f t="shared" si="68"/>
        <v>女</v>
      </c>
      <c r="F1641" s="8" t="str">
        <f>"1996-06-21"</f>
        <v>1996-06-21</v>
      </c>
      <c r="G1641" s="9"/>
    </row>
    <row r="1642" spans="1:7" ht="13.5">
      <c r="A1642" s="7">
        <v>1640</v>
      </c>
      <c r="B1642" s="8" t="str">
        <f>"2341202009121320422677"</f>
        <v>2341202009121320422677</v>
      </c>
      <c r="C1642" s="8" t="s">
        <v>9</v>
      </c>
      <c r="D1642" s="8" t="str">
        <f>"兰丽姑"</f>
        <v>兰丽姑</v>
      </c>
      <c r="E1642" s="8" t="str">
        <f t="shared" si="68"/>
        <v>女</v>
      </c>
      <c r="F1642" s="8" t="str">
        <f>"1989-12-26"</f>
        <v>1989-12-26</v>
      </c>
      <c r="G1642" s="9"/>
    </row>
    <row r="1643" spans="1:7" ht="13.5">
      <c r="A1643" s="7">
        <v>1641</v>
      </c>
      <c r="B1643" s="8" t="str">
        <f>"2341202009121400322682"</f>
        <v>2341202009121400322682</v>
      </c>
      <c r="C1643" s="8" t="s">
        <v>9</v>
      </c>
      <c r="D1643" s="8" t="str">
        <f>"王川宁"</f>
        <v>王川宁</v>
      </c>
      <c r="E1643" s="8" t="str">
        <f t="shared" si="68"/>
        <v>女</v>
      </c>
      <c r="F1643" s="8" t="str">
        <f>"1994-08-20"</f>
        <v>1994-08-20</v>
      </c>
      <c r="G1643" s="9"/>
    </row>
    <row r="1644" spans="1:7" ht="13.5">
      <c r="A1644" s="7">
        <v>1642</v>
      </c>
      <c r="B1644" s="8" t="str">
        <f>"2341202009121421082684"</f>
        <v>2341202009121421082684</v>
      </c>
      <c r="C1644" s="8" t="s">
        <v>9</v>
      </c>
      <c r="D1644" s="8" t="str">
        <f>"羊信妹"</f>
        <v>羊信妹</v>
      </c>
      <c r="E1644" s="8" t="str">
        <f t="shared" si="68"/>
        <v>女</v>
      </c>
      <c r="F1644" s="8" t="str">
        <f>"1994-08-16"</f>
        <v>1994-08-16</v>
      </c>
      <c r="G1644" s="9"/>
    </row>
    <row r="1645" spans="1:7" ht="13.5">
      <c r="A1645" s="7">
        <v>1643</v>
      </c>
      <c r="B1645" s="8" t="str">
        <f>"2341202009121436562686"</f>
        <v>2341202009121436562686</v>
      </c>
      <c r="C1645" s="8" t="s">
        <v>9</v>
      </c>
      <c r="D1645" s="8" t="str">
        <f>"吴源洁"</f>
        <v>吴源洁</v>
      </c>
      <c r="E1645" s="8" t="str">
        <f t="shared" si="68"/>
        <v>女</v>
      </c>
      <c r="F1645" s="8" t="str">
        <f>"1994-12-07"</f>
        <v>1994-12-07</v>
      </c>
      <c r="G1645" s="9"/>
    </row>
    <row r="1646" spans="1:7" ht="13.5">
      <c r="A1646" s="7">
        <v>1644</v>
      </c>
      <c r="B1646" s="8" t="str">
        <f>"2341202009121440482687"</f>
        <v>2341202009121440482687</v>
      </c>
      <c r="C1646" s="8" t="s">
        <v>9</v>
      </c>
      <c r="D1646" s="8" t="str">
        <f>"张用芳"</f>
        <v>张用芳</v>
      </c>
      <c r="E1646" s="8" t="str">
        <f t="shared" si="68"/>
        <v>女</v>
      </c>
      <c r="F1646" s="8" t="str">
        <f>"1994-08-10"</f>
        <v>1994-08-10</v>
      </c>
      <c r="G1646" s="9"/>
    </row>
    <row r="1647" spans="1:7" ht="13.5">
      <c r="A1647" s="7">
        <v>1645</v>
      </c>
      <c r="B1647" s="8" t="str">
        <f>"2341202009121538312690"</f>
        <v>2341202009121538312690</v>
      </c>
      <c r="C1647" s="8" t="s">
        <v>9</v>
      </c>
      <c r="D1647" s="8" t="str">
        <f>"邹宇春"</f>
        <v>邹宇春</v>
      </c>
      <c r="E1647" s="8" t="str">
        <f t="shared" si="68"/>
        <v>女</v>
      </c>
      <c r="F1647" s="8" t="str">
        <f>"1990-10-14"</f>
        <v>1990-10-14</v>
      </c>
      <c r="G1647" s="9"/>
    </row>
    <row r="1648" spans="1:7" ht="13.5">
      <c r="A1648" s="7">
        <v>1646</v>
      </c>
      <c r="B1648" s="8" t="str">
        <f>"2341202009121609132693"</f>
        <v>2341202009121609132693</v>
      </c>
      <c r="C1648" s="8" t="s">
        <v>9</v>
      </c>
      <c r="D1648" s="8" t="str">
        <f>"罗文晴"</f>
        <v>罗文晴</v>
      </c>
      <c r="E1648" s="8" t="str">
        <f t="shared" si="68"/>
        <v>女</v>
      </c>
      <c r="F1648" s="8" t="str">
        <f>"1996-08-21"</f>
        <v>1996-08-21</v>
      </c>
      <c r="G1648" s="9"/>
    </row>
    <row r="1649" spans="1:7" ht="13.5">
      <c r="A1649" s="7">
        <v>1647</v>
      </c>
      <c r="B1649" s="8" t="str">
        <f>"2341202009121625582697"</f>
        <v>2341202009121625582697</v>
      </c>
      <c r="C1649" s="8" t="s">
        <v>9</v>
      </c>
      <c r="D1649" s="8" t="str">
        <f>"张蓓"</f>
        <v>张蓓</v>
      </c>
      <c r="E1649" s="8" t="str">
        <f t="shared" si="68"/>
        <v>女</v>
      </c>
      <c r="F1649" s="8" t="str">
        <f>"1997-05-27"</f>
        <v>1997-05-27</v>
      </c>
      <c r="G1649" s="9"/>
    </row>
    <row r="1650" spans="1:7" ht="13.5">
      <c r="A1650" s="7">
        <v>1648</v>
      </c>
      <c r="B1650" s="8" t="str">
        <f>"2341202009121640082702"</f>
        <v>2341202009121640082702</v>
      </c>
      <c r="C1650" s="8" t="s">
        <v>9</v>
      </c>
      <c r="D1650" s="8" t="str">
        <f>"李银铃"</f>
        <v>李银铃</v>
      </c>
      <c r="E1650" s="8" t="str">
        <f t="shared" si="68"/>
        <v>女</v>
      </c>
      <c r="F1650" s="8" t="str">
        <f>"1996-04-30"</f>
        <v>1996-04-30</v>
      </c>
      <c r="G1650" s="9"/>
    </row>
    <row r="1651" spans="1:7" ht="13.5">
      <c r="A1651" s="7">
        <v>1649</v>
      </c>
      <c r="B1651" s="8" t="str">
        <f>"2341202009121641562703"</f>
        <v>2341202009121641562703</v>
      </c>
      <c r="C1651" s="8" t="s">
        <v>9</v>
      </c>
      <c r="D1651" s="8" t="str">
        <f>"董力萍"</f>
        <v>董力萍</v>
      </c>
      <c r="E1651" s="8" t="str">
        <f t="shared" si="68"/>
        <v>女</v>
      </c>
      <c r="F1651" s="8" t="str">
        <f>"1997-03-31"</f>
        <v>1997-03-31</v>
      </c>
      <c r="G1651" s="9"/>
    </row>
    <row r="1652" spans="1:7" ht="13.5">
      <c r="A1652" s="7">
        <v>1650</v>
      </c>
      <c r="B1652" s="8" t="str">
        <f>"2341202009121735282706"</f>
        <v>2341202009121735282706</v>
      </c>
      <c r="C1652" s="8" t="s">
        <v>9</v>
      </c>
      <c r="D1652" s="8" t="str">
        <f>"郭小燕"</f>
        <v>郭小燕</v>
      </c>
      <c r="E1652" s="8" t="str">
        <f t="shared" si="68"/>
        <v>女</v>
      </c>
      <c r="F1652" s="8" t="str">
        <f>"1996-08-22"</f>
        <v>1996-08-22</v>
      </c>
      <c r="G1652" s="9"/>
    </row>
    <row r="1653" spans="1:7" ht="13.5">
      <c r="A1653" s="7">
        <v>1651</v>
      </c>
      <c r="B1653" s="8" t="str">
        <f>"2341202009121810552710"</f>
        <v>2341202009121810552710</v>
      </c>
      <c r="C1653" s="8" t="s">
        <v>9</v>
      </c>
      <c r="D1653" s="8" t="str">
        <f>"陈琳"</f>
        <v>陈琳</v>
      </c>
      <c r="E1653" s="8" t="str">
        <f t="shared" si="68"/>
        <v>女</v>
      </c>
      <c r="F1653" s="8" t="str">
        <f>"1995-12-16"</f>
        <v>1995-12-16</v>
      </c>
      <c r="G1653" s="9"/>
    </row>
    <row r="1654" spans="1:7" ht="13.5">
      <c r="A1654" s="7">
        <v>1652</v>
      </c>
      <c r="B1654" s="8" t="str">
        <f>"2341202009122004532716"</f>
        <v>2341202009122004532716</v>
      </c>
      <c r="C1654" s="8" t="s">
        <v>9</v>
      </c>
      <c r="D1654" s="8" t="str">
        <f>"王海萍"</f>
        <v>王海萍</v>
      </c>
      <c r="E1654" s="8" t="str">
        <f t="shared" si="68"/>
        <v>女</v>
      </c>
      <c r="F1654" s="8" t="str">
        <f>"1988-12-14"</f>
        <v>1988-12-14</v>
      </c>
      <c r="G1654" s="9"/>
    </row>
    <row r="1655" spans="1:7" ht="13.5">
      <c r="A1655" s="7">
        <v>1653</v>
      </c>
      <c r="B1655" s="8" t="str">
        <f>"2341202009122006452717"</f>
        <v>2341202009122006452717</v>
      </c>
      <c r="C1655" s="8" t="s">
        <v>9</v>
      </c>
      <c r="D1655" s="8" t="str">
        <f>"张婷婷"</f>
        <v>张婷婷</v>
      </c>
      <c r="E1655" s="8" t="str">
        <f t="shared" si="68"/>
        <v>女</v>
      </c>
      <c r="F1655" s="8" t="str">
        <f>"1987-05-01"</f>
        <v>1987-05-01</v>
      </c>
      <c r="G1655" s="9"/>
    </row>
    <row r="1656" spans="1:7" ht="13.5">
      <c r="A1656" s="7">
        <v>1654</v>
      </c>
      <c r="B1656" s="8" t="str">
        <f>"2341202009122039142724"</f>
        <v>2341202009122039142724</v>
      </c>
      <c r="C1656" s="8" t="s">
        <v>9</v>
      </c>
      <c r="D1656" s="8" t="str">
        <f>"谢秋红"</f>
        <v>谢秋红</v>
      </c>
      <c r="E1656" s="8" t="str">
        <f t="shared" si="68"/>
        <v>女</v>
      </c>
      <c r="F1656" s="8" t="str">
        <f>"1988-12-26"</f>
        <v>1988-12-26</v>
      </c>
      <c r="G1656" s="9"/>
    </row>
    <row r="1657" spans="1:7" ht="13.5">
      <c r="A1657" s="7">
        <v>1655</v>
      </c>
      <c r="B1657" s="8" t="str">
        <f>"2341202009122041412726"</f>
        <v>2341202009122041412726</v>
      </c>
      <c r="C1657" s="8" t="s">
        <v>9</v>
      </c>
      <c r="D1657" s="8" t="str">
        <f>"邱惠婷"</f>
        <v>邱惠婷</v>
      </c>
      <c r="E1657" s="8" t="str">
        <f t="shared" si="68"/>
        <v>女</v>
      </c>
      <c r="F1657" s="8" t="str">
        <f>"1998-05-17"</f>
        <v>1998-05-17</v>
      </c>
      <c r="G1657" s="9"/>
    </row>
    <row r="1658" spans="1:7" ht="13.5">
      <c r="A1658" s="7">
        <v>1656</v>
      </c>
      <c r="B1658" s="8" t="str">
        <f>"2341202009122110332728"</f>
        <v>2341202009122110332728</v>
      </c>
      <c r="C1658" s="8" t="s">
        <v>9</v>
      </c>
      <c r="D1658" s="8" t="str">
        <f>"吴亚瑞"</f>
        <v>吴亚瑞</v>
      </c>
      <c r="E1658" s="8" t="str">
        <f t="shared" si="68"/>
        <v>女</v>
      </c>
      <c r="F1658" s="8" t="str">
        <f>"1995-10-06"</f>
        <v>1995-10-06</v>
      </c>
      <c r="G1658" s="9"/>
    </row>
    <row r="1659" spans="1:7" ht="13.5">
      <c r="A1659" s="7">
        <v>1657</v>
      </c>
      <c r="B1659" s="8" t="str">
        <f>"2341202009122220172737"</f>
        <v>2341202009122220172737</v>
      </c>
      <c r="C1659" s="8" t="s">
        <v>9</v>
      </c>
      <c r="D1659" s="8" t="str">
        <f>"陈春至"</f>
        <v>陈春至</v>
      </c>
      <c r="E1659" s="8" t="str">
        <f t="shared" si="68"/>
        <v>女</v>
      </c>
      <c r="F1659" s="8" t="str">
        <f>"1989-06-05"</f>
        <v>1989-06-05</v>
      </c>
      <c r="G1659" s="9"/>
    </row>
    <row r="1660" spans="1:7" ht="13.5">
      <c r="A1660" s="7">
        <v>1658</v>
      </c>
      <c r="B1660" s="8" t="str">
        <f>"2341202009122231162740"</f>
        <v>2341202009122231162740</v>
      </c>
      <c r="C1660" s="8" t="s">
        <v>9</v>
      </c>
      <c r="D1660" s="8" t="str">
        <f>"郑文静"</f>
        <v>郑文静</v>
      </c>
      <c r="E1660" s="8" t="str">
        <f t="shared" si="68"/>
        <v>女</v>
      </c>
      <c r="F1660" s="8" t="str">
        <f>"1993-08-09"</f>
        <v>1993-08-09</v>
      </c>
      <c r="G1660" s="9"/>
    </row>
    <row r="1661" spans="1:7" ht="13.5">
      <c r="A1661" s="7">
        <v>1659</v>
      </c>
      <c r="B1661" s="8" t="str">
        <f>"2341202009122310372748"</f>
        <v>2341202009122310372748</v>
      </c>
      <c r="C1661" s="8" t="s">
        <v>9</v>
      </c>
      <c r="D1661" s="8" t="str">
        <f>"谢思思"</f>
        <v>谢思思</v>
      </c>
      <c r="E1661" s="8" t="str">
        <f t="shared" si="68"/>
        <v>女</v>
      </c>
      <c r="F1661" s="8" t="str">
        <f>"1994-11-08"</f>
        <v>1994-11-08</v>
      </c>
      <c r="G1661" s="9"/>
    </row>
    <row r="1662" spans="1:7" ht="13.5">
      <c r="A1662" s="7">
        <v>1660</v>
      </c>
      <c r="B1662" s="8" t="str">
        <f>"2341202009122336472749"</f>
        <v>2341202009122336472749</v>
      </c>
      <c r="C1662" s="8" t="s">
        <v>9</v>
      </c>
      <c r="D1662" s="8" t="str">
        <f>"冯素敏"</f>
        <v>冯素敏</v>
      </c>
      <c r="E1662" s="8" t="str">
        <f t="shared" si="68"/>
        <v>女</v>
      </c>
      <c r="F1662" s="8" t="str">
        <f>"1997-01-15"</f>
        <v>1997-01-15</v>
      </c>
      <c r="G1662" s="9"/>
    </row>
    <row r="1663" spans="1:7" ht="13.5">
      <c r="A1663" s="7">
        <v>1661</v>
      </c>
      <c r="B1663" s="8" t="str">
        <f>"2341202009130002182753"</f>
        <v>2341202009130002182753</v>
      </c>
      <c r="C1663" s="8" t="s">
        <v>9</v>
      </c>
      <c r="D1663" s="8" t="str">
        <f>"羊红妍"</f>
        <v>羊红妍</v>
      </c>
      <c r="E1663" s="8" t="str">
        <f t="shared" si="68"/>
        <v>女</v>
      </c>
      <c r="F1663" s="8" t="str">
        <f>"1994-08-12"</f>
        <v>1994-08-12</v>
      </c>
      <c r="G1663" s="9"/>
    </row>
    <row r="1664" spans="1:7" ht="13.5">
      <c r="A1664" s="7">
        <v>1662</v>
      </c>
      <c r="B1664" s="8" t="str">
        <f>"2341202009130031532754"</f>
        <v>2341202009130031532754</v>
      </c>
      <c r="C1664" s="8" t="s">
        <v>9</v>
      </c>
      <c r="D1664" s="8" t="str">
        <f>"苏向婷"</f>
        <v>苏向婷</v>
      </c>
      <c r="E1664" s="8" t="str">
        <f t="shared" si="68"/>
        <v>女</v>
      </c>
      <c r="F1664" s="8" t="str">
        <f>"1997-01-30"</f>
        <v>1997-01-30</v>
      </c>
      <c r="G1664" s="9"/>
    </row>
    <row r="1665" spans="1:7" ht="13.5">
      <c r="A1665" s="7">
        <v>1663</v>
      </c>
      <c r="B1665" s="8" t="str">
        <f>"2341202009130854522760"</f>
        <v>2341202009130854522760</v>
      </c>
      <c r="C1665" s="8" t="s">
        <v>9</v>
      </c>
      <c r="D1665" s="8" t="str">
        <f>"陈启兰"</f>
        <v>陈启兰</v>
      </c>
      <c r="E1665" s="8" t="str">
        <f t="shared" si="68"/>
        <v>女</v>
      </c>
      <c r="F1665" s="8" t="str">
        <f>"1994-03-05"</f>
        <v>1994-03-05</v>
      </c>
      <c r="G1665" s="9"/>
    </row>
    <row r="1666" spans="1:7" ht="13.5">
      <c r="A1666" s="7">
        <v>1664</v>
      </c>
      <c r="B1666" s="8" t="str">
        <f>"2341202009130920502761"</f>
        <v>2341202009130920502761</v>
      </c>
      <c r="C1666" s="8" t="s">
        <v>9</v>
      </c>
      <c r="D1666" s="8" t="str">
        <f>"孙杰婷"</f>
        <v>孙杰婷</v>
      </c>
      <c r="E1666" s="8" t="str">
        <f t="shared" si="68"/>
        <v>女</v>
      </c>
      <c r="F1666" s="8" t="str">
        <f>"1991-04-11"</f>
        <v>1991-04-11</v>
      </c>
      <c r="G1666" s="9"/>
    </row>
    <row r="1667" spans="1:7" ht="13.5">
      <c r="A1667" s="7">
        <v>1665</v>
      </c>
      <c r="B1667" s="8" t="str">
        <f>"2341202009130939552764"</f>
        <v>2341202009130939552764</v>
      </c>
      <c r="C1667" s="8" t="s">
        <v>9</v>
      </c>
      <c r="D1667" s="8" t="str">
        <f>"郭浩梦"</f>
        <v>郭浩梦</v>
      </c>
      <c r="E1667" s="8" t="str">
        <f t="shared" si="68"/>
        <v>女</v>
      </c>
      <c r="F1667" s="8" t="str">
        <f>"1991-06-30"</f>
        <v>1991-06-30</v>
      </c>
      <c r="G1667" s="9"/>
    </row>
    <row r="1668" spans="1:7" ht="13.5">
      <c r="A1668" s="7">
        <v>1666</v>
      </c>
      <c r="B1668" s="8" t="str">
        <f>"2341202009131001462765"</f>
        <v>2341202009131001462765</v>
      </c>
      <c r="C1668" s="8" t="s">
        <v>9</v>
      </c>
      <c r="D1668" s="8" t="str">
        <f>"宋增喜"</f>
        <v>宋增喜</v>
      </c>
      <c r="E1668" s="8" t="str">
        <f>"男"</f>
        <v>男</v>
      </c>
      <c r="F1668" s="8" t="str">
        <f>"1988-11-23"</f>
        <v>1988-11-23</v>
      </c>
      <c r="G1668" s="9"/>
    </row>
    <row r="1669" spans="1:7" ht="13.5">
      <c r="A1669" s="7">
        <v>1667</v>
      </c>
      <c r="B1669" s="8" t="str">
        <f>"2341202009131040402773"</f>
        <v>2341202009131040402773</v>
      </c>
      <c r="C1669" s="8" t="s">
        <v>9</v>
      </c>
      <c r="D1669" s="8" t="str">
        <f>"王丽燕"</f>
        <v>王丽燕</v>
      </c>
      <c r="E1669" s="8" t="str">
        <f aca="true" t="shared" si="69" ref="E1669:E1677">"女"</f>
        <v>女</v>
      </c>
      <c r="F1669" s="8" t="str">
        <f>"1996-06-05"</f>
        <v>1996-06-05</v>
      </c>
      <c r="G1669" s="9"/>
    </row>
    <row r="1670" spans="1:7" ht="13.5">
      <c r="A1670" s="7">
        <v>1668</v>
      </c>
      <c r="B1670" s="8" t="str">
        <f>"2341202009131044522775"</f>
        <v>2341202009131044522775</v>
      </c>
      <c r="C1670" s="8" t="s">
        <v>9</v>
      </c>
      <c r="D1670" s="8" t="str">
        <f>"吴艳恒"</f>
        <v>吴艳恒</v>
      </c>
      <c r="E1670" s="8" t="str">
        <f t="shared" si="69"/>
        <v>女</v>
      </c>
      <c r="F1670" s="8" t="str">
        <f>"1993-10-16"</f>
        <v>1993-10-16</v>
      </c>
      <c r="G1670" s="9"/>
    </row>
    <row r="1671" spans="1:7" ht="13.5">
      <c r="A1671" s="7">
        <v>1669</v>
      </c>
      <c r="B1671" s="8" t="str">
        <f>"2341202009131202572791"</f>
        <v>2341202009131202572791</v>
      </c>
      <c r="C1671" s="8" t="s">
        <v>9</v>
      </c>
      <c r="D1671" s="8" t="str">
        <f>"曾德珠"</f>
        <v>曾德珠</v>
      </c>
      <c r="E1671" s="8" t="str">
        <f t="shared" si="69"/>
        <v>女</v>
      </c>
      <c r="F1671" s="8" t="str">
        <f>"1989-08-10"</f>
        <v>1989-08-10</v>
      </c>
      <c r="G1671" s="9"/>
    </row>
    <row r="1672" spans="1:7" ht="13.5">
      <c r="A1672" s="7">
        <v>1670</v>
      </c>
      <c r="B1672" s="8" t="str">
        <f>"2341202009131214532792"</f>
        <v>2341202009131214532792</v>
      </c>
      <c r="C1672" s="8" t="s">
        <v>9</v>
      </c>
      <c r="D1672" s="8" t="str">
        <f>"蔡敏儿"</f>
        <v>蔡敏儿</v>
      </c>
      <c r="E1672" s="8" t="str">
        <f t="shared" si="69"/>
        <v>女</v>
      </c>
      <c r="F1672" s="8" t="str">
        <f>"1997-10-15"</f>
        <v>1997-10-15</v>
      </c>
      <c r="G1672" s="9"/>
    </row>
    <row r="1673" spans="1:7" ht="13.5">
      <c r="A1673" s="7">
        <v>1671</v>
      </c>
      <c r="B1673" s="8" t="str">
        <f>"2341202009131334442805"</f>
        <v>2341202009131334442805</v>
      </c>
      <c r="C1673" s="8" t="s">
        <v>9</v>
      </c>
      <c r="D1673" s="8" t="str">
        <f>"吴琼容"</f>
        <v>吴琼容</v>
      </c>
      <c r="E1673" s="8" t="str">
        <f t="shared" si="69"/>
        <v>女</v>
      </c>
      <c r="F1673" s="8" t="str">
        <f>"1997-10-02"</f>
        <v>1997-10-02</v>
      </c>
      <c r="G1673" s="9"/>
    </row>
    <row r="1674" spans="1:7" ht="13.5">
      <c r="A1674" s="7">
        <v>1672</v>
      </c>
      <c r="B1674" s="8" t="str">
        <f>"2341202009131336022806"</f>
        <v>2341202009131336022806</v>
      </c>
      <c r="C1674" s="8" t="s">
        <v>9</v>
      </c>
      <c r="D1674" s="8" t="str">
        <f>"陈亚咪"</f>
        <v>陈亚咪</v>
      </c>
      <c r="E1674" s="8" t="str">
        <f t="shared" si="69"/>
        <v>女</v>
      </c>
      <c r="F1674" s="8" t="str">
        <f>"1995-01-22"</f>
        <v>1995-01-22</v>
      </c>
      <c r="G1674" s="9"/>
    </row>
    <row r="1675" spans="1:7" ht="13.5">
      <c r="A1675" s="7">
        <v>1673</v>
      </c>
      <c r="B1675" s="8" t="str">
        <f>"2341202009131338592808"</f>
        <v>2341202009131338592808</v>
      </c>
      <c r="C1675" s="8" t="s">
        <v>9</v>
      </c>
      <c r="D1675" s="8" t="str">
        <f>"刘雅琦"</f>
        <v>刘雅琦</v>
      </c>
      <c r="E1675" s="8" t="str">
        <f t="shared" si="69"/>
        <v>女</v>
      </c>
      <c r="F1675" s="8" t="str">
        <f>"1995-02-21"</f>
        <v>1995-02-21</v>
      </c>
      <c r="G1675" s="9"/>
    </row>
    <row r="1676" spans="1:7" ht="13.5">
      <c r="A1676" s="7">
        <v>1674</v>
      </c>
      <c r="B1676" s="8" t="str">
        <f>"2341202009131429302815"</f>
        <v>2341202009131429302815</v>
      </c>
      <c r="C1676" s="8" t="s">
        <v>9</v>
      </c>
      <c r="D1676" s="8" t="str">
        <f>"李慧"</f>
        <v>李慧</v>
      </c>
      <c r="E1676" s="8" t="str">
        <f t="shared" si="69"/>
        <v>女</v>
      </c>
      <c r="F1676" s="8" t="str">
        <f>"1996-11-09"</f>
        <v>1996-11-09</v>
      </c>
      <c r="G1676" s="9"/>
    </row>
    <row r="1677" spans="1:7" ht="13.5">
      <c r="A1677" s="7">
        <v>1675</v>
      </c>
      <c r="B1677" s="8" t="str">
        <f>"2341202009131438172818"</f>
        <v>2341202009131438172818</v>
      </c>
      <c r="C1677" s="8" t="s">
        <v>9</v>
      </c>
      <c r="D1677" s="8" t="str">
        <f>"王萍"</f>
        <v>王萍</v>
      </c>
      <c r="E1677" s="8" t="str">
        <f t="shared" si="69"/>
        <v>女</v>
      </c>
      <c r="F1677" s="8" t="str">
        <f>"1994-10-01"</f>
        <v>1994-10-01</v>
      </c>
      <c r="G1677" s="9"/>
    </row>
    <row r="1678" spans="1:7" ht="13.5">
      <c r="A1678" s="7">
        <v>1676</v>
      </c>
      <c r="B1678" s="8" t="str">
        <f>"2341202009131521322825"</f>
        <v>2341202009131521322825</v>
      </c>
      <c r="C1678" s="8" t="s">
        <v>9</v>
      </c>
      <c r="D1678" s="8" t="str">
        <f>"林清"</f>
        <v>林清</v>
      </c>
      <c r="E1678" s="8" t="str">
        <f>"男"</f>
        <v>男</v>
      </c>
      <c r="F1678" s="8" t="str">
        <f>"1987-01-26"</f>
        <v>1987-01-26</v>
      </c>
      <c r="G1678" s="9"/>
    </row>
    <row r="1679" spans="1:7" ht="13.5">
      <c r="A1679" s="7">
        <v>1677</v>
      </c>
      <c r="B1679" s="8" t="str">
        <f>"2341202009131524292826"</f>
        <v>2341202009131524292826</v>
      </c>
      <c r="C1679" s="8" t="s">
        <v>9</v>
      </c>
      <c r="D1679" s="8" t="str">
        <f>"张悦琦"</f>
        <v>张悦琦</v>
      </c>
      <c r="E1679" s="8" t="str">
        <f aca="true" t="shared" si="70" ref="E1679:E1686">"女"</f>
        <v>女</v>
      </c>
      <c r="F1679" s="8" t="str">
        <f>"1993-10-06"</f>
        <v>1993-10-06</v>
      </c>
      <c r="G1679" s="9"/>
    </row>
    <row r="1680" spans="1:7" ht="13.5">
      <c r="A1680" s="7">
        <v>1678</v>
      </c>
      <c r="B1680" s="8" t="str">
        <f>"2341202009131524482827"</f>
        <v>2341202009131524482827</v>
      </c>
      <c r="C1680" s="8" t="s">
        <v>9</v>
      </c>
      <c r="D1680" s="8" t="str">
        <f>"韦冬梅"</f>
        <v>韦冬梅</v>
      </c>
      <c r="E1680" s="8" t="str">
        <f t="shared" si="70"/>
        <v>女</v>
      </c>
      <c r="F1680" s="8" t="str">
        <f>"1995-01-23"</f>
        <v>1995-01-23</v>
      </c>
      <c r="G1680" s="9"/>
    </row>
    <row r="1681" spans="1:7" ht="13.5">
      <c r="A1681" s="7">
        <v>1679</v>
      </c>
      <c r="B1681" s="8" t="str">
        <f>"2341202009131537522830"</f>
        <v>2341202009131537522830</v>
      </c>
      <c r="C1681" s="8" t="s">
        <v>9</v>
      </c>
      <c r="D1681" s="8" t="str">
        <f>"陈婷"</f>
        <v>陈婷</v>
      </c>
      <c r="E1681" s="8" t="str">
        <f t="shared" si="70"/>
        <v>女</v>
      </c>
      <c r="F1681" s="8" t="str">
        <f>"1998-02-22"</f>
        <v>1998-02-22</v>
      </c>
      <c r="G1681" s="9"/>
    </row>
    <row r="1682" spans="1:7" ht="13.5">
      <c r="A1682" s="7">
        <v>1680</v>
      </c>
      <c r="B1682" s="8" t="str">
        <f>"2341202009131555482833"</f>
        <v>2341202009131555482833</v>
      </c>
      <c r="C1682" s="8" t="s">
        <v>9</v>
      </c>
      <c r="D1682" s="8" t="str">
        <f>"李秀颖"</f>
        <v>李秀颖</v>
      </c>
      <c r="E1682" s="8" t="str">
        <f t="shared" si="70"/>
        <v>女</v>
      </c>
      <c r="F1682" s="8" t="str">
        <f>"1996-06-14"</f>
        <v>1996-06-14</v>
      </c>
      <c r="G1682" s="9"/>
    </row>
    <row r="1683" spans="1:7" ht="13.5">
      <c r="A1683" s="7">
        <v>1681</v>
      </c>
      <c r="B1683" s="8" t="str">
        <f>"2341202009131731382847"</f>
        <v>2341202009131731382847</v>
      </c>
      <c r="C1683" s="8" t="s">
        <v>9</v>
      </c>
      <c r="D1683" s="8" t="str">
        <f>"孙婧莹"</f>
        <v>孙婧莹</v>
      </c>
      <c r="E1683" s="8" t="str">
        <f t="shared" si="70"/>
        <v>女</v>
      </c>
      <c r="F1683" s="8" t="str">
        <f>"1997-11-01"</f>
        <v>1997-11-01</v>
      </c>
      <c r="G1683" s="9"/>
    </row>
    <row r="1684" spans="1:7" ht="13.5">
      <c r="A1684" s="7">
        <v>1682</v>
      </c>
      <c r="B1684" s="8" t="str">
        <f>"2341202009131738122848"</f>
        <v>2341202009131738122848</v>
      </c>
      <c r="C1684" s="8" t="s">
        <v>9</v>
      </c>
      <c r="D1684" s="8" t="str">
        <f>"郝彦琼"</f>
        <v>郝彦琼</v>
      </c>
      <c r="E1684" s="8" t="str">
        <f t="shared" si="70"/>
        <v>女</v>
      </c>
      <c r="F1684" s="8" t="str">
        <f>"1994-07-08"</f>
        <v>1994-07-08</v>
      </c>
      <c r="G1684" s="9"/>
    </row>
    <row r="1685" spans="1:7" ht="13.5">
      <c r="A1685" s="7">
        <v>1683</v>
      </c>
      <c r="B1685" s="8" t="str">
        <f>"2341202009131927582875"</f>
        <v>2341202009131927582875</v>
      </c>
      <c r="C1685" s="8" t="s">
        <v>9</v>
      </c>
      <c r="D1685" s="8" t="str">
        <f>"秦春玉"</f>
        <v>秦春玉</v>
      </c>
      <c r="E1685" s="8" t="str">
        <f t="shared" si="70"/>
        <v>女</v>
      </c>
      <c r="F1685" s="8" t="str">
        <f>"1995-02-14"</f>
        <v>1995-02-14</v>
      </c>
      <c r="G1685" s="9"/>
    </row>
    <row r="1686" spans="1:7" ht="13.5">
      <c r="A1686" s="7">
        <v>1684</v>
      </c>
      <c r="B1686" s="8" t="str">
        <f>"2341202009131932062876"</f>
        <v>2341202009131932062876</v>
      </c>
      <c r="C1686" s="8" t="s">
        <v>9</v>
      </c>
      <c r="D1686" s="8" t="str">
        <f>"符晓颖"</f>
        <v>符晓颖</v>
      </c>
      <c r="E1686" s="8" t="str">
        <f t="shared" si="70"/>
        <v>女</v>
      </c>
      <c r="F1686" s="8" t="str">
        <f>"1990-07-27"</f>
        <v>1990-07-27</v>
      </c>
      <c r="G1686" s="9"/>
    </row>
    <row r="1687" spans="1:7" ht="13.5">
      <c r="A1687" s="7">
        <v>1685</v>
      </c>
      <c r="B1687" s="8" t="str">
        <f>"2341202009131951272886"</f>
        <v>2341202009131951272886</v>
      </c>
      <c r="C1687" s="8" t="s">
        <v>9</v>
      </c>
      <c r="D1687" s="8" t="str">
        <f>"吕应贵"</f>
        <v>吕应贵</v>
      </c>
      <c r="E1687" s="8" t="str">
        <f>"男"</f>
        <v>男</v>
      </c>
      <c r="F1687" s="8" t="str">
        <f>"1993-10-27"</f>
        <v>1993-10-27</v>
      </c>
      <c r="G1687" s="9"/>
    </row>
    <row r="1688" spans="1:7" ht="13.5">
      <c r="A1688" s="7">
        <v>1686</v>
      </c>
      <c r="B1688" s="8" t="str">
        <f>"2341202009132002122888"</f>
        <v>2341202009132002122888</v>
      </c>
      <c r="C1688" s="8" t="s">
        <v>9</v>
      </c>
      <c r="D1688" s="8" t="str">
        <f>"邢潇文"</f>
        <v>邢潇文</v>
      </c>
      <c r="E1688" s="8" t="str">
        <f>"女"</f>
        <v>女</v>
      </c>
      <c r="F1688" s="8" t="str">
        <f>"1995-08-28"</f>
        <v>1995-08-28</v>
      </c>
      <c r="G1688" s="9"/>
    </row>
    <row r="1689" spans="1:7" ht="13.5">
      <c r="A1689" s="7">
        <v>1687</v>
      </c>
      <c r="B1689" s="8" t="str">
        <f>"2341202009132019372898"</f>
        <v>2341202009132019372898</v>
      </c>
      <c r="C1689" s="8" t="s">
        <v>9</v>
      </c>
      <c r="D1689" s="8" t="str">
        <f>"高玉涟"</f>
        <v>高玉涟</v>
      </c>
      <c r="E1689" s="8" t="str">
        <f>"女"</f>
        <v>女</v>
      </c>
      <c r="F1689" s="8" t="str">
        <f>"1991-05-29"</f>
        <v>1991-05-29</v>
      </c>
      <c r="G1689" s="9"/>
    </row>
    <row r="1690" spans="1:7" ht="13.5">
      <c r="A1690" s="7">
        <v>1688</v>
      </c>
      <c r="B1690" s="8" t="str">
        <f>"2341202009132020452900"</f>
        <v>2341202009132020452900</v>
      </c>
      <c r="C1690" s="8" t="s">
        <v>9</v>
      </c>
      <c r="D1690" s="8" t="str">
        <f>"钟方晓"</f>
        <v>钟方晓</v>
      </c>
      <c r="E1690" s="8" t="str">
        <f>"女"</f>
        <v>女</v>
      </c>
      <c r="F1690" s="8" t="str">
        <f>"1993-07-20"</f>
        <v>1993-07-20</v>
      </c>
      <c r="G1690" s="9"/>
    </row>
    <row r="1691" spans="1:7" ht="13.5">
      <c r="A1691" s="7">
        <v>1689</v>
      </c>
      <c r="B1691" s="8" t="str">
        <f>"2341202009132021532901"</f>
        <v>2341202009132021532901</v>
      </c>
      <c r="C1691" s="8" t="s">
        <v>9</v>
      </c>
      <c r="D1691" s="8" t="str">
        <f>"邱帮雪"</f>
        <v>邱帮雪</v>
      </c>
      <c r="E1691" s="8" t="str">
        <f>"女"</f>
        <v>女</v>
      </c>
      <c r="F1691" s="8" t="str">
        <f>"1995-08-12"</f>
        <v>1995-08-12</v>
      </c>
      <c r="G1691" s="9"/>
    </row>
    <row r="1692" spans="1:7" ht="13.5">
      <c r="A1692" s="7">
        <v>1690</v>
      </c>
      <c r="B1692" s="8" t="str">
        <f>"2341202009132054502908"</f>
        <v>2341202009132054502908</v>
      </c>
      <c r="C1692" s="8" t="s">
        <v>9</v>
      </c>
      <c r="D1692" s="8" t="str">
        <f>"李为日"</f>
        <v>李为日</v>
      </c>
      <c r="E1692" s="8" t="str">
        <f>"男"</f>
        <v>男</v>
      </c>
      <c r="F1692" s="8" t="str">
        <f>"1988-04-25"</f>
        <v>1988-04-25</v>
      </c>
      <c r="G1692" s="9"/>
    </row>
    <row r="1693" spans="1:7" ht="13.5">
      <c r="A1693" s="7">
        <v>1691</v>
      </c>
      <c r="B1693" s="8" t="str">
        <f>"2341202009132101192911"</f>
        <v>2341202009132101192911</v>
      </c>
      <c r="C1693" s="8" t="s">
        <v>9</v>
      </c>
      <c r="D1693" s="8" t="str">
        <f>"王炎炎"</f>
        <v>王炎炎</v>
      </c>
      <c r="E1693" s="8" t="str">
        <f aca="true" t="shared" si="71" ref="E1693:E1699">"女"</f>
        <v>女</v>
      </c>
      <c r="F1693" s="8" t="str">
        <f>"1993-10-09"</f>
        <v>1993-10-09</v>
      </c>
      <c r="G1693" s="9"/>
    </row>
    <row r="1694" spans="1:7" ht="13.5">
      <c r="A1694" s="7">
        <v>1692</v>
      </c>
      <c r="B1694" s="8" t="str">
        <f>"2341202009132115032916"</f>
        <v>2341202009132115032916</v>
      </c>
      <c r="C1694" s="8" t="s">
        <v>9</v>
      </c>
      <c r="D1694" s="8" t="str">
        <f>"容 应爱"</f>
        <v>容 应爱</v>
      </c>
      <c r="E1694" s="8" t="str">
        <f t="shared" si="71"/>
        <v>女</v>
      </c>
      <c r="F1694" s="8" t="str">
        <f>"1994-12-07"</f>
        <v>1994-12-07</v>
      </c>
      <c r="G1694" s="9"/>
    </row>
    <row r="1695" spans="1:7" ht="13.5">
      <c r="A1695" s="7">
        <v>1693</v>
      </c>
      <c r="B1695" s="8" t="str">
        <f>"2341202009132118092917"</f>
        <v>2341202009132118092917</v>
      </c>
      <c r="C1695" s="8" t="s">
        <v>9</v>
      </c>
      <c r="D1695" s="8" t="str">
        <f>"黄保转"</f>
        <v>黄保转</v>
      </c>
      <c r="E1695" s="8" t="str">
        <f t="shared" si="71"/>
        <v>女</v>
      </c>
      <c r="F1695" s="8" t="str">
        <f>"1995-09-23"</f>
        <v>1995-09-23</v>
      </c>
      <c r="G1695" s="9"/>
    </row>
    <row r="1696" spans="1:7" ht="13.5">
      <c r="A1696" s="7">
        <v>1694</v>
      </c>
      <c r="B1696" s="8" t="str">
        <f>"2341202009132118462918"</f>
        <v>2341202009132118462918</v>
      </c>
      <c r="C1696" s="8" t="s">
        <v>9</v>
      </c>
      <c r="D1696" s="8" t="str">
        <f>"钟家芬"</f>
        <v>钟家芬</v>
      </c>
      <c r="E1696" s="8" t="str">
        <f t="shared" si="71"/>
        <v>女</v>
      </c>
      <c r="F1696" s="8" t="str">
        <f>"1995-10-17"</f>
        <v>1995-10-17</v>
      </c>
      <c r="G1696" s="9"/>
    </row>
    <row r="1697" spans="1:7" ht="13.5">
      <c r="A1697" s="7">
        <v>1695</v>
      </c>
      <c r="B1697" s="8" t="str">
        <f>"2341202009132134022925"</f>
        <v>2341202009132134022925</v>
      </c>
      <c r="C1697" s="8" t="s">
        <v>9</v>
      </c>
      <c r="D1697" s="8" t="str">
        <f>"王芳"</f>
        <v>王芳</v>
      </c>
      <c r="E1697" s="8" t="str">
        <f t="shared" si="71"/>
        <v>女</v>
      </c>
      <c r="F1697" s="8" t="str">
        <f>"1994-08-25"</f>
        <v>1994-08-25</v>
      </c>
      <c r="G1697" s="9"/>
    </row>
    <row r="1698" spans="1:7" ht="13.5">
      <c r="A1698" s="7">
        <v>1696</v>
      </c>
      <c r="B1698" s="8" t="str">
        <f>"2341202009132138242928"</f>
        <v>2341202009132138242928</v>
      </c>
      <c r="C1698" s="8" t="s">
        <v>9</v>
      </c>
      <c r="D1698" s="8" t="str">
        <f>"王基娇"</f>
        <v>王基娇</v>
      </c>
      <c r="E1698" s="8" t="str">
        <f t="shared" si="71"/>
        <v>女</v>
      </c>
      <c r="F1698" s="8" t="str">
        <f>"1993-07-06"</f>
        <v>1993-07-06</v>
      </c>
      <c r="G1698" s="9"/>
    </row>
    <row r="1699" spans="1:7" ht="13.5">
      <c r="A1699" s="7">
        <v>1697</v>
      </c>
      <c r="B1699" s="8" t="str">
        <f>"2341202009132143222931"</f>
        <v>2341202009132143222931</v>
      </c>
      <c r="C1699" s="8" t="s">
        <v>9</v>
      </c>
      <c r="D1699" s="8" t="str">
        <f>"陈小钰"</f>
        <v>陈小钰</v>
      </c>
      <c r="E1699" s="8" t="str">
        <f t="shared" si="71"/>
        <v>女</v>
      </c>
      <c r="F1699" s="8" t="str">
        <f>"1996-10-05"</f>
        <v>1996-10-05</v>
      </c>
      <c r="G1699" s="9"/>
    </row>
    <row r="1700" spans="1:7" ht="13.5">
      <c r="A1700" s="7">
        <v>1698</v>
      </c>
      <c r="B1700" s="8" t="str">
        <f>"2341202009132154442935"</f>
        <v>2341202009132154442935</v>
      </c>
      <c r="C1700" s="8" t="s">
        <v>9</v>
      </c>
      <c r="D1700" s="8" t="str">
        <f>"陈世亮"</f>
        <v>陈世亮</v>
      </c>
      <c r="E1700" s="8" t="str">
        <f>"男"</f>
        <v>男</v>
      </c>
      <c r="F1700" s="8" t="str">
        <f>"1994-11-13"</f>
        <v>1994-11-13</v>
      </c>
      <c r="G1700" s="9"/>
    </row>
    <row r="1701" spans="1:7" ht="13.5">
      <c r="A1701" s="7">
        <v>1699</v>
      </c>
      <c r="B1701" s="8" t="str">
        <f>"2341202009132202512941"</f>
        <v>2341202009132202512941</v>
      </c>
      <c r="C1701" s="8" t="s">
        <v>9</v>
      </c>
      <c r="D1701" s="8" t="str">
        <f>"周小妹"</f>
        <v>周小妹</v>
      </c>
      <c r="E1701" s="8" t="str">
        <f aca="true" t="shared" si="72" ref="E1701:E1722">"女"</f>
        <v>女</v>
      </c>
      <c r="F1701" s="8" t="str">
        <f>"1994-04-10"</f>
        <v>1994-04-10</v>
      </c>
      <c r="G1701" s="9"/>
    </row>
    <row r="1702" spans="1:7" ht="13.5">
      <c r="A1702" s="7">
        <v>1700</v>
      </c>
      <c r="B1702" s="8" t="str">
        <f>"2341202009132208022942"</f>
        <v>2341202009132208022942</v>
      </c>
      <c r="C1702" s="8" t="s">
        <v>9</v>
      </c>
      <c r="D1702" s="8" t="str">
        <f>"王丕翠"</f>
        <v>王丕翠</v>
      </c>
      <c r="E1702" s="8" t="str">
        <f t="shared" si="72"/>
        <v>女</v>
      </c>
      <c r="F1702" s="8" t="str">
        <f>"1996-08-30"</f>
        <v>1996-08-30</v>
      </c>
      <c r="G1702" s="9"/>
    </row>
    <row r="1703" spans="1:7" ht="13.5">
      <c r="A1703" s="7">
        <v>1701</v>
      </c>
      <c r="B1703" s="8" t="str">
        <f>"2341202009132212182944"</f>
        <v>2341202009132212182944</v>
      </c>
      <c r="C1703" s="8" t="s">
        <v>9</v>
      </c>
      <c r="D1703" s="8" t="str">
        <f>"王倩"</f>
        <v>王倩</v>
      </c>
      <c r="E1703" s="8" t="str">
        <f t="shared" si="72"/>
        <v>女</v>
      </c>
      <c r="F1703" s="8" t="str">
        <f>"1997-06-01"</f>
        <v>1997-06-01</v>
      </c>
      <c r="G1703" s="9"/>
    </row>
    <row r="1704" spans="1:7" ht="13.5">
      <c r="A1704" s="7">
        <v>1702</v>
      </c>
      <c r="B1704" s="8" t="str">
        <f>"2341202009132216032947"</f>
        <v>2341202009132216032947</v>
      </c>
      <c r="C1704" s="8" t="s">
        <v>9</v>
      </c>
      <c r="D1704" s="8" t="str">
        <f>"李江艳"</f>
        <v>李江艳</v>
      </c>
      <c r="E1704" s="8" t="str">
        <f t="shared" si="72"/>
        <v>女</v>
      </c>
      <c r="F1704" s="8" t="str">
        <f>"1993-03-13"</f>
        <v>1993-03-13</v>
      </c>
      <c r="G1704" s="9"/>
    </row>
    <row r="1705" spans="1:7" ht="13.5">
      <c r="A1705" s="7">
        <v>1703</v>
      </c>
      <c r="B1705" s="8" t="str">
        <f>"2341202009132220292951"</f>
        <v>2341202009132220292951</v>
      </c>
      <c r="C1705" s="8" t="s">
        <v>9</v>
      </c>
      <c r="D1705" s="8" t="str">
        <f>"符妹弟"</f>
        <v>符妹弟</v>
      </c>
      <c r="E1705" s="8" t="str">
        <f t="shared" si="72"/>
        <v>女</v>
      </c>
      <c r="F1705" s="8" t="str">
        <f>"1995-06-05"</f>
        <v>1995-06-05</v>
      </c>
      <c r="G1705" s="9"/>
    </row>
    <row r="1706" spans="1:7" ht="13.5">
      <c r="A1706" s="7">
        <v>1704</v>
      </c>
      <c r="B1706" s="8" t="str">
        <f>"2341202009132224152953"</f>
        <v>2341202009132224152953</v>
      </c>
      <c r="C1706" s="8" t="s">
        <v>9</v>
      </c>
      <c r="D1706" s="8" t="str">
        <f>"杜小红"</f>
        <v>杜小红</v>
      </c>
      <c r="E1706" s="8" t="str">
        <f t="shared" si="72"/>
        <v>女</v>
      </c>
      <c r="F1706" s="8" t="str">
        <f>"1991-07-05"</f>
        <v>1991-07-05</v>
      </c>
      <c r="G1706" s="9"/>
    </row>
    <row r="1707" spans="1:7" ht="13.5">
      <c r="A1707" s="7">
        <v>1705</v>
      </c>
      <c r="B1707" s="8" t="str">
        <f>"2341202009132240012964"</f>
        <v>2341202009132240012964</v>
      </c>
      <c r="C1707" s="8" t="s">
        <v>9</v>
      </c>
      <c r="D1707" s="8" t="str">
        <f>"吴春恋"</f>
        <v>吴春恋</v>
      </c>
      <c r="E1707" s="8" t="str">
        <f t="shared" si="72"/>
        <v>女</v>
      </c>
      <c r="F1707" s="8" t="str">
        <f>"1991-02-03"</f>
        <v>1991-02-03</v>
      </c>
      <c r="G1707" s="9"/>
    </row>
    <row r="1708" spans="1:7" ht="13.5">
      <c r="A1708" s="7">
        <v>1706</v>
      </c>
      <c r="B1708" s="8" t="str">
        <f>"2341202009132249262968"</f>
        <v>2341202009132249262968</v>
      </c>
      <c r="C1708" s="8" t="s">
        <v>9</v>
      </c>
      <c r="D1708" s="8" t="str">
        <f>"陈颖三"</f>
        <v>陈颖三</v>
      </c>
      <c r="E1708" s="8" t="str">
        <f t="shared" si="72"/>
        <v>女</v>
      </c>
      <c r="F1708" s="8" t="str">
        <f>"1997-04-08"</f>
        <v>1997-04-08</v>
      </c>
      <c r="G1708" s="9"/>
    </row>
    <row r="1709" spans="1:7" ht="13.5">
      <c r="A1709" s="7">
        <v>1707</v>
      </c>
      <c r="B1709" s="8" t="str">
        <f>"2341202009140002572988"</f>
        <v>2341202009140002572988</v>
      </c>
      <c r="C1709" s="8" t="s">
        <v>9</v>
      </c>
      <c r="D1709" s="8" t="str">
        <f>"冯清虹"</f>
        <v>冯清虹</v>
      </c>
      <c r="E1709" s="8" t="str">
        <f t="shared" si="72"/>
        <v>女</v>
      </c>
      <c r="F1709" s="8" t="str">
        <f>"1991-07-30"</f>
        <v>1991-07-30</v>
      </c>
      <c r="G1709" s="9"/>
    </row>
    <row r="1710" spans="1:7" ht="13.5">
      <c r="A1710" s="7">
        <v>1708</v>
      </c>
      <c r="B1710" s="8" t="str">
        <f>"2341202009140013062989"</f>
        <v>2341202009140013062989</v>
      </c>
      <c r="C1710" s="8" t="s">
        <v>9</v>
      </c>
      <c r="D1710" s="8" t="str">
        <f>"林秋焕"</f>
        <v>林秋焕</v>
      </c>
      <c r="E1710" s="8" t="str">
        <f t="shared" si="72"/>
        <v>女</v>
      </c>
      <c r="F1710" s="8" t="str">
        <f>"1996-09-24"</f>
        <v>1996-09-24</v>
      </c>
      <c r="G1710" s="9"/>
    </row>
    <row r="1711" spans="1:7" ht="13.5">
      <c r="A1711" s="7">
        <v>1709</v>
      </c>
      <c r="B1711" s="8" t="str">
        <f>"2341202009140044152996"</f>
        <v>2341202009140044152996</v>
      </c>
      <c r="C1711" s="8" t="s">
        <v>9</v>
      </c>
      <c r="D1711" s="8" t="str">
        <f>"林雪慧"</f>
        <v>林雪慧</v>
      </c>
      <c r="E1711" s="8" t="str">
        <f t="shared" si="72"/>
        <v>女</v>
      </c>
      <c r="F1711" s="8" t="str">
        <f>"1996-09-12"</f>
        <v>1996-09-12</v>
      </c>
      <c r="G1711" s="9"/>
    </row>
    <row r="1712" spans="1:7" ht="13.5">
      <c r="A1712" s="7">
        <v>1710</v>
      </c>
      <c r="B1712" s="8" t="str">
        <f>"2341202009140144512998"</f>
        <v>2341202009140144512998</v>
      </c>
      <c r="C1712" s="8" t="s">
        <v>9</v>
      </c>
      <c r="D1712" s="8" t="str">
        <f>"赖忆连"</f>
        <v>赖忆连</v>
      </c>
      <c r="E1712" s="8" t="str">
        <f t="shared" si="72"/>
        <v>女</v>
      </c>
      <c r="F1712" s="8" t="str">
        <f>"1992-11-29"</f>
        <v>1992-11-29</v>
      </c>
      <c r="G1712" s="9"/>
    </row>
    <row r="1713" spans="1:7" ht="13.5">
      <c r="A1713" s="7">
        <v>1711</v>
      </c>
      <c r="B1713" s="8" t="str">
        <f>"2341202009140657003003"</f>
        <v>2341202009140657003003</v>
      </c>
      <c r="C1713" s="8" t="s">
        <v>9</v>
      </c>
      <c r="D1713" s="8" t="str">
        <f>"潘冬蓉"</f>
        <v>潘冬蓉</v>
      </c>
      <c r="E1713" s="8" t="str">
        <f t="shared" si="72"/>
        <v>女</v>
      </c>
      <c r="F1713" s="8" t="str">
        <f>"1996-02-23"</f>
        <v>1996-02-23</v>
      </c>
      <c r="G1713" s="9"/>
    </row>
    <row r="1714" spans="1:7" ht="13.5">
      <c r="A1714" s="7">
        <v>1712</v>
      </c>
      <c r="B1714" s="8" t="str">
        <f>"2341202009140836063019"</f>
        <v>2341202009140836063019</v>
      </c>
      <c r="C1714" s="8" t="s">
        <v>9</v>
      </c>
      <c r="D1714" s="8" t="str">
        <f>"徐庄岚"</f>
        <v>徐庄岚</v>
      </c>
      <c r="E1714" s="8" t="str">
        <f t="shared" si="72"/>
        <v>女</v>
      </c>
      <c r="F1714" s="8" t="str">
        <f>"1991-08-11"</f>
        <v>1991-08-11</v>
      </c>
      <c r="G1714" s="9"/>
    </row>
    <row r="1715" spans="1:7" ht="13.5">
      <c r="A1715" s="7">
        <v>1713</v>
      </c>
      <c r="B1715" s="8" t="str">
        <f>"2341202009140838233020"</f>
        <v>2341202009140838233020</v>
      </c>
      <c r="C1715" s="8" t="s">
        <v>9</v>
      </c>
      <c r="D1715" s="8" t="str">
        <f>"王云丽"</f>
        <v>王云丽</v>
      </c>
      <c r="E1715" s="8" t="str">
        <f t="shared" si="72"/>
        <v>女</v>
      </c>
      <c r="F1715" s="8" t="str">
        <f>"1991-03-07"</f>
        <v>1991-03-07</v>
      </c>
      <c r="G1715" s="9"/>
    </row>
    <row r="1716" spans="1:7" ht="13.5">
      <c r="A1716" s="7">
        <v>1714</v>
      </c>
      <c r="B1716" s="8" t="str">
        <f>"2341202009140853133025"</f>
        <v>2341202009140853133025</v>
      </c>
      <c r="C1716" s="8" t="s">
        <v>9</v>
      </c>
      <c r="D1716" s="8" t="str">
        <f>"潘舒雯"</f>
        <v>潘舒雯</v>
      </c>
      <c r="E1716" s="8" t="str">
        <f t="shared" si="72"/>
        <v>女</v>
      </c>
      <c r="F1716" s="8" t="str">
        <f>"1995-08-23"</f>
        <v>1995-08-23</v>
      </c>
      <c r="G1716" s="9"/>
    </row>
    <row r="1717" spans="1:7" ht="13.5">
      <c r="A1717" s="7">
        <v>1715</v>
      </c>
      <c r="B1717" s="8" t="str">
        <f>"2341202009140914033034"</f>
        <v>2341202009140914033034</v>
      </c>
      <c r="C1717" s="8" t="s">
        <v>9</v>
      </c>
      <c r="D1717" s="8" t="str">
        <f>"王雪"</f>
        <v>王雪</v>
      </c>
      <c r="E1717" s="8" t="str">
        <f t="shared" si="72"/>
        <v>女</v>
      </c>
      <c r="F1717" s="8" t="str">
        <f>"1989-02-14"</f>
        <v>1989-02-14</v>
      </c>
      <c r="G1717" s="9"/>
    </row>
    <row r="1718" spans="1:7" ht="13.5">
      <c r="A1718" s="7">
        <v>1716</v>
      </c>
      <c r="B1718" s="8" t="str">
        <f>"2341202009140916553035"</f>
        <v>2341202009140916553035</v>
      </c>
      <c r="C1718" s="8" t="s">
        <v>9</v>
      </c>
      <c r="D1718" s="8" t="str">
        <f>"蒙秋燕"</f>
        <v>蒙秋燕</v>
      </c>
      <c r="E1718" s="8" t="str">
        <f t="shared" si="72"/>
        <v>女</v>
      </c>
      <c r="F1718" s="8" t="str">
        <f>"1995-06-08"</f>
        <v>1995-06-08</v>
      </c>
      <c r="G1718" s="9"/>
    </row>
    <row r="1719" spans="1:7" ht="13.5">
      <c r="A1719" s="7">
        <v>1717</v>
      </c>
      <c r="B1719" s="8" t="str">
        <f>"2341202009140927293038"</f>
        <v>2341202009140927293038</v>
      </c>
      <c r="C1719" s="8" t="s">
        <v>9</v>
      </c>
      <c r="D1719" s="8" t="str">
        <f>"符铭云"</f>
        <v>符铭云</v>
      </c>
      <c r="E1719" s="8" t="str">
        <f t="shared" si="72"/>
        <v>女</v>
      </c>
      <c r="F1719" s="8" t="str">
        <f>"1995-03-14"</f>
        <v>1995-03-14</v>
      </c>
      <c r="G1719" s="9"/>
    </row>
    <row r="1720" spans="1:7" ht="13.5">
      <c r="A1720" s="7">
        <v>1718</v>
      </c>
      <c r="B1720" s="8" t="str">
        <f>"2341202009141018573056"</f>
        <v>2341202009141018573056</v>
      </c>
      <c r="C1720" s="8" t="s">
        <v>9</v>
      </c>
      <c r="D1720" s="8" t="str">
        <f>"肖宇虹"</f>
        <v>肖宇虹</v>
      </c>
      <c r="E1720" s="8" t="str">
        <f t="shared" si="72"/>
        <v>女</v>
      </c>
      <c r="F1720" s="8" t="str">
        <f>"1996-10-05"</f>
        <v>1996-10-05</v>
      </c>
      <c r="G1720" s="9"/>
    </row>
    <row r="1721" spans="1:7" ht="13.5">
      <c r="A1721" s="7">
        <v>1719</v>
      </c>
      <c r="B1721" s="8" t="str">
        <f>"2341202009141020093057"</f>
        <v>2341202009141020093057</v>
      </c>
      <c r="C1721" s="8" t="s">
        <v>9</v>
      </c>
      <c r="D1721" s="8" t="str">
        <f>"吴欣莲"</f>
        <v>吴欣莲</v>
      </c>
      <c r="E1721" s="8" t="str">
        <f t="shared" si="72"/>
        <v>女</v>
      </c>
      <c r="F1721" s="8" t="str">
        <f>"1992-08-19"</f>
        <v>1992-08-19</v>
      </c>
      <c r="G1721" s="9"/>
    </row>
    <row r="1722" spans="1:7" ht="13.5">
      <c r="A1722" s="7">
        <v>1720</v>
      </c>
      <c r="B1722" s="8" t="str">
        <f>"2341202009141055023068"</f>
        <v>2341202009141055023068</v>
      </c>
      <c r="C1722" s="8" t="s">
        <v>9</v>
      </c>
      <c r="D1722" s="8" t="str">
        <f>"符坤霞"</f>
        <v>符坤霞</v>
      </c>
      <c r="E1722" s="8" t="str">
        <f t="shared" si="72"/>
        <v>女</v>
      </c>
      <c r="F1722" s="8" t="str">
        <f>"1994-07-29"</f>
        <v>1994-07-29</v>
      </c>
      <c r="G1722" s="9"/>
    </row>
    <row r="1723" spans="1:7" ht="13.5">
      <c r="A1723" s="7">
        <v>1721</v>
      </c>
      <c r="B1723" s="8" t="str">
        <f>"2341202009141059593069"</f>
        <v>2341202009141059593069</v>
      </c>
      <c r="C1723" s="8" t="s">
        <v>9</v>
      </c>
      <c r="D1723" s="8" t="str">
        <f>"王运委"</f>
        <v>王运委</v>
      </c>
      <c r="E1723" s="8" t="str">
        <f>"男"</f>
        <v>男</v>
      </c>
      <c r="F1723" s="8" t="str">
        <f>"1986-12-05"</f>
        <v>1986-12-05</v>
      </c>
      <c r="G1723" s="9"/>
    </row>
    <row r="1724" spans="1:7" ht="13.5">
      <c r="A1724" s="7">
        <v>1722</v>
      </c>
      <c r="B1724" s="8" t="str">
        <f>"2341202009141112593075"</f>
        <v>2341202009141112593075</v>
      </c>
      <c r="C1724" s="8" t="s">
        <v>9</v>
      </c>
      <c r="D1724" s="8" t="str">
        <f>"黄新萍"</f>
        <v>黄新萍</v>
      </c>
      <c r="E1724" s="8" t="str">
        <f aca="true" t="shared" si="73" ref="E1724:E1732">"女"</f>
        <v>女</v>
      </c>
      <c r="F1724" s="8" t="str">
        <f>"1997-02-25"</f>
        <v>1997-02-25</v>
      </c>
      <c r="G1724" s="9"/>
    </row>
    <row r="1725" spans="1:7" ht="13.5">
      <c r="A1725" s="7">
        <v>1723</v>
      </c>
      <c r="B1725" s="8" t="str">
        <f>"2341202009141124233079"</f>
        <v>2341202009141124233079</v>
      </c>
      <c r="C1725" s="8" t="s">
        <v>9</v>
      </c>
      <c r="D1725" s="8" t="str">
        <f>"曾敬娥"</f>
        <v>曾敬娥</v>
      </c>
      <c r="E1725" s="8" t="str">
        <f t="shared" si="73"/>
        <v>女</v>
      </c>
      <c r="F1725" s="8" t="str">
        <f>"1994-10-10"</f>
        <v>1994-10-10</v>
      </c>
      <c r="G1725" s="9"/>
    </row>
    <row r="1726" spans="1:7" ht="13.5">
      <c r="A1726" s="7">
        <v>1724</v>
      </c>
      <c r="B1726" s="8" t="str">
        <f>"2341202009141139363085"</f>
        <v>2341202009141139363085</v>
      </c>
      <c r="C1726" s="8" t="s">
        <v>9</v>
      </c>
      <c r="D1726" s="8" t="str">
        <f>"罗艳芬"</f>
        <v>罗艳芬</v>
      </c>
      <c r="E1726" s="8" t="str">
        <f t="shared" si="73"/>
        <v>女</v>
      </c>
      <c r="F1726" s="8" t="str">
        <f>"1992-08-07"</f>
        <v>1992-08-07</v>
      </c>
      <c r="G1726" s="9"/>
    </row>
    <row r="1727" spans="1:7" ht="13.5">
      <c r="A1727" s="7">
        <v>1725</v>
      </c>
      <c r="B1727" s="8" t="str">
        <f>"2341202009141139393086"</f>
        <v>2341202009141139393086</v>
      </c>
      <c r="C1727" s="8" t="s">
        <v>9</v>
      </c>
      <c r="D1727" s="8" t="str">
        <f>"王梅"</f>
        <v>王梅</v>
      </c>
      <c r="E1727" s="8" t="str">
        <f t="shared" si="73"/>
        <v>女</v>
      </c>
      <c r="F1727" s="8" t="str">
        <f>"1992-10-07"</f>
        <v>1992-10-07</v>
      </c>
      <c r="G1727" s="9"/>
    </row>
    <row r="1728" spans="1:7" ht="13.5">
      <c r="A1728" s="7">
        <v>1726</v>
      </c>
      <c r="B1728" s="8" t="str">
        <f>"2341202009141157323093"</f>
        <v>2341202009141157323093</v>
      </c>
      <c r="C1728" s="8" t="s">
        <v>9</v>
      </c>
      <c r="D1728" s="8" t="str">
        <f>"符丽丹"</f>
        <v>符丽丹</v>
      </c>
      <c r="E1728" s="8" t="str">
        <f t="shared" si="73"/>
        <v>女</v>
      </c>
      <c r="F1728" s="8" t="str">
        <f>"1995-03-26"</f>
        <v>1995-03-26</v>
      </c>
      <c r="G1728" s="9"/>
    </row>
    <row r="1729" spans="1:7" ht="13.5">
      <c r="A1729" s="7">
        <v>1727</v>
      </c>
      <c r="B1729" s="8" t="str">
        <f>"2341202009141200113096"</f>
        <v>2341202009141200113096</v>
      </c>
      <c r="C1729" s="8" t="s">
        <v>9</v>
      </c>
      <c r="D1729" s="8" t="str">
        <f>"杨丹"</f>
        <v>杨丹</v>
      </c>
      <c r="E1729" s="8" t="str">
        <f t="shared" si="73"/>
        <v>女</v>
      </c>
      <c r="F1729" s="8" t="str">
        <f>"1994-04-12"</f>
        <v>1994-04-12</v>
      </c>
      <c r="G1729" s="9"/>
    </row>
    <row r="1730" spans="1:7" ht="13.5">
      <c r="A1730" s="7">
        <v>1728</v>
      </c>
      <c r="B1730" s="8" t="str">
        <f>"2341202009141203113098"</f>
        <v>2341202009141203113098</v>
      </c>
      <c r="C1730" s="8" t="s">
        <v>9</v>
      </c>
      <c r="D1730" s="8" t="str">
        <f>"曾丹芬"</f>
        <v>曾丹芬</v>
      </c>
      <c r="E1730" s="8" t="str">
        <f t="shared" si="73"/>
        <v>女</v>
      </c>
      <c r="F1730" s="8" t="str">
        <f>"1995-05-02"</f>
        <v>1995-05-02</v>
      </c>
      <c r="G1730" s="9"/>
    </row>
    <row r="1731" spans="1:7" ht="13.5">
      <c r="A1731" s="7">
        <v>1729</v>
      </c>
      <c r="B1731" s="8" t="str">
        <f>"2341202009141211543104"</f>
        <v>2341202009141211543104</v>
      </c>
      <c r="C1731" s="8" t="s">
        <v>9</v>
      </c>
      <c r="D1731" s="8" t="str">
        <f>"周慧媚"</f>
        <v>周慧媚</v>
      </c>
      <c r="E1731" s="8" t="str">
        <f t="shared" si="73"/>
        <v>女</v>
      </c>
      <c r="F1731" s="8" t="str">
        <f>"1996-06-11"</f>
        <v>1996-06-11</v>
      </c>
      <c r="G1731" s="9"/>
    </row>
    <row r="1732" spans="1:7" ht="13.5">
      <c r="A1732" s="7">
        <v>1730</v>
      </c>
      <c r="B1732" s="8" t="str">
        <f>"2341202009141216273106"</f>
        <v>2341202009141216273106</v>
      </c>
      <c r="C1732" s="8" t="s">
        <v>9</v>
      </c>
      <c r="D1732" s="8" t="str">
        <f>"黎思婷"</f>
        <v>黎思婷</v>
      </c>
      <c r="E1732" s="8" t="str">
        <f t="shared" si="73"/>
        <v>女</v>
      </c>
      <c r="F1732" s="8" t="str">
        <f>"1993-08-26"</f>
        <v>1993-08-26</v>
      </c>
      <c r="G1732" s="9"/>
    </row>
    <row r="1733" spans="1:7" ht="13.5">
      <c r="A1733" s="7">
        <v>1731</v>
      </c>
      <c r="B1733" s="8" t="str">
        <f>"2341202009141223543112"</f>
        <v>2341202009141223543112</v>
      </c>
      <c r="C1733" s="8" t="s">
        <v>9</v>
      </c>
      <c r="D1733" s="8" t="str">
        <f>"赵华凯"</f>
        <v>赵华凯</v>
      </c>
      <c r="E1733" s="8" t="str">
        <f>"男"</f>
        <v>男</v>
      </c>
      <c r="F1733" s="8" t="str">
        <f>"1998-10-02"</f>
        <v>1998-10-02</v>
      </c>
      <c r="G1733" s="9"/>
    </row>
    <row r="1734" spans="1:7" ht="13.5">
      <c r="A1734" s="7">
        <v>1732</v>
      </c>
      <c r="B1734" s="8" t="str">
        <f>"2341202009141232553117"</f>
        <v>2341202009141232553117</v>
      </c>
      <c r="C1734" s="8" t="s">
        <v>9</v>
      </c>
      <c r="D1734" s="8" t="str">
        <f>"梁玲"</f>
        <v>梁玲</v>
      </c>
      <c r="E1734" s="8" t="str">
        <f>"女"</f>
        <v>女</v>
      </c>
      <c r="F1734" s="8" t="str">
        <f>"1993-11-23"</f>
        <v>1993-11-23</v>
      </c>
      <c r="G1734" s="9"/>
    </row>
    <row r="1735" spans="1:7" ht="13.5">
      <c r="A1735" s="7">
        <v>1733</v>
      </c>
      <c r="B1735" s="8" t="str">
        <f>"2341202009141238233118"</f>
        <v>2341202009141238233118</v>
      </c>
      <c r="C1735" s="8" t="s">
        <v>9</v>
      </c>
      <c r="D1735" s="8" t="str">
        <f>"王彩虹"</f>
        <v>王彩虹</v>
      </c>
      <c r="E1735" s="8" t="str">
        <f>"女"</f>
        <v>女</v>
      </c>
      <c r="F1735" s="8" t="str">
        <f>"1994-10-20"</f>
        <v>1994-10-20</v>
      </c>
      <c r="G1735" s="9"/>
    </row>
    <row r="1736" spans="1:7" ht="13.5">
      <c r="A1736" s="7">
        <v>1734</v>
      </c>
      <c r="B1736" s="8" t="str">
        <f>"2341202009141245273128"</f>
        <v>2341202009141245273128</v>
      </c>
      <c r="C1736" s="8" t="s">
        <v>9</v>
      </c>
      <c r="D1736" s="8" t="str">
        <f>"韩宜"</f>
        <v>韩宜</v>
      </c>
      <c r="E1736" s="8" t="str">
        <f>"女"</f>
        <v>女</v>
      </c>
      <c r="F1736" s="8" t="str">
        <f>"1997-06-16"</f>
        <v>1997-06-16</v>
      </c>
      <c r="G1736" s="9"/>
    </row>
    <row r="1737" spans="1:7" ht="13.5">
      <c r="A1737" s="7">
        <v>1735</v>
      </c>
      <c r="B1737" s="8" t="str">
        <f>"2341202009141249283131"</f>
        <v>2341202009141249283131</v>
      </c>
      <c r="C1737" s="8" t="s">
        <v>9</v>
      </c>
      <c r="D1737" s="8" t="str">
        <f>"邢筱云"</f>
        <v>邢筱云</v>
      </c>
      <c r="E1737" s="8" t="str">
        <f>"女"</f>
        <v>女</v>
      </c>
      <c r="F1737" s="8" t="str">
        <f>"1991-08-10"</f>
        <v>1991-08-10</v>
      </c>
      <c r="G1737" s="9"/>
    </row>
    <row r="1738" spans="1:7" ht="13.5">
      <c r="A1738" s="7">
        <v>1736</v>
      </c>
      <c r="B1738" s="8" t="str">
        <f>"2341202009141254053132"</f>
        <v>2341202009141254053132</v>
      </c>
      <c r="C1738" s="8" t="s">
        <v>9</v>
      </c>
      <c r="D1738" s="8" t="str">
        <f>"廖殿光"</f>
        <v>廖殿光</v>
      </c>
      <c r="E1738" s="8" t="str">
        <f>"男"</f>
        <v>男</v>
      </c>
      <c r="F1738" s="8" t="str">
        <f>"1994-03-28"</f>
        <v>1994-03-28</v>
      </c>
      <c r="G1738" s="9"/>
    </row>
    <row r="1739" spans="1:7" ht="13.5">
      <c r="A1739" s="7">
        <v>1737</v>
      </c>
      <c r="B1739" s="8" t="str">
        <f>"2341202009141256293134"</f>
        <v>2341202009141256293134</v>
      </c>
      <c r="C1739" s="8" t="s">
        <v>9</v>
      </c>
      <c r="D1739" s="8" t="str">
        <f>"梁二苑"</f>
        <v>梁二苑</v>
      </c>
      <c r="E1739" s="8" t="str">
        <f aca="true" t="shared" si="74" ref="E1739:E1756">"女"</f>
        <v>女</v>
      </c>
      <c r="F1739" s="8" t="str">
        <f>"1991-09-03"</f>
        <v>1991-09-03</v>
      </c>
      <c r="G1739" s="9"/>
    </row>
    <row r="1740" spans="1:7" ht="13.5">
      <c r="A1740" s="7">
        <v>1738</v>
      </c>
      <c r="B1740" s="8" t="str">
        <f>"2341202009141304323142"</f>
        <v>2341202009141304323142</v>
      </c>
      <c r="C1740" s="8" t="s">
        <v>9</v>
      </c>
      <c r="D1740" s="8" t="str">
        <f>"李晓金"</f>
        <v>李晓金</v>
      </c>
      <c r="E1740" s="8" t="str">
        <f t="shared" si="74"/>
        <v>女</v>
      </c>
      <c r="F1740" s="8" t="str">
        <f>"1995-03-10"</f>
        <v>1995-03-10</v>
      </c>
      <c r="G1740" s="9"/>
    </row>
    <row r="1741" spans="1:7" ht="13.5">
      <c r="A1741" s="7">
        <v>1739</v>
      </c>
      <c r="B1741" s="8" t="str">
        <f>"2341202009141306013144"</f>
        <v>2341202009141306013144</v>
      </c>
      <c r="C1741" s="8" t="s">
        <v>9</v>
      </c>
      <c r="D1741" s="8" t="str">
        <f>"符源原"</f>
        <v>符源原</v>
      </c>
      <c r="E1741" s="8" t="str">
        <f t="shared" si="74"/>
        <v>女</v>
      </c>
      <c r="F1741" s="8" t="str">
        <f>"1998-09-29"</f>
        <v>1998-09-29</v>
      </c>
      <c r="G1741" s="9"/>
    </row>
    <row r="1742" spans="1:7" ht="13.5">
      <c r="A1742" s="7">
        <v>1740</v>
      </c>
      <c r="B1742" s="8" t="str">
        <f>"2341202009141311163146"</f>
        <v>2341202009141311163146</v>
      </c>
      <c r="C1742" s="8" t="s">
        <v>9</v>
      </c>
      <c r="D1742" s="8" t="str">
        <f>"陈少宛"</f>
        <v>陈少宛</v>
      </c>
      <c r="E1742" s="8" t="str">
        <f t="shared" si="74"/>
        <v>女</v>
      </c>
      <c r="F1742" s="8" t="str">
        <f>"1993-06-22"</f>
        <v>1993-06-22</v>
      </c>
      <c r="G1742" s="9"/>
    </row>
    <row r="1743" spans="1:7" ht="13.5">
      <c r="A1743" s="7">
        <v>1741</v>
      </c>
      <c r="B1743" s="8" t="str">
        <f>"2341202009141316103151"</f>
        <v>2341202009141316103151</v>
      </c>
      <c r="C1743" s="8" t="s">
        <v>9</v>
      </c>
      <c r="D1743" s="8" t="str">
        <f>"许俊莉"</f>
        <v>许俊莉</v>
      </c>
      <c r="E1743" s="8" t="str">
        <f t="shared" si="74"/>
        <v>女</v>
      </c>
      <c r="F1743" s="8" t="str">
        <f>"1991-08-26"</f>
        <v>1991-08-26</v>
      </c>
      <c r="G1743" s="9"/>
    </row>
    <row r="1744" spans="1:7" ht="13.5">
      <c r="A1744" s="7">
        <v>1742</v>
      </c>
      <c r="B1744" s="8" t="str">
        <f>"2341202009141318213153"</f>
        <v>2341202009141318213153</v>
      </c>
      <c r="C1744" s="8" t="s">
        <v>9</v>
      </c>
      <c r="D1744" s="8" t="str">
        <f>"唐海玲"</f>
        <v>唐海玲</v>
      </c>
      <c r="E1744" s="8" t="str">
        <f t="shared" si="74"/>
        <v>女</v>
      </c>
      <c r="F1744" s="8" t="str">
        <f>"1996-06-02"</f>
        <v>1996-06-02</v>
      </c>
      <c r="G1744" s="9"/>
    </row>
    <row r="1745" spans="1:7" ht="13.5">
      <c r="A1745" s="7">
        <v>1743</v>
      </c>
      <c r="B1745" s="8" t="str">
        <f>"2341202009141318483154"</f>
        <v>2341202009141318483154</v>
      </c>
      <c r="C1745" s="8" t="s">
        <v>9</v>
      </c>
      <c r="D1745" s="8" t="str">
        <f>"吴海花"</f>
        <v>吴海花</v>
      </c>
      <c r="E1745" s="8" t="str">
        <f t="shared" si="74"/>
        <v>女</v>
      </c>
      <c r="F1745" s="8" t="str">
        <f>"1992-06-02"</f>
        <v>1992-06-02</v>
      </c>
      <c r="G1745" s="9"/>
    </row>
    <row r="1746" spans="1:7" ht="13.5">
      <c r="A1746" s="7">
        <v>1744</v>
      </c>
      <c r="B1746" s="8" t="str">
        <f>"2341202009141332133160"</f>
        <v>2341202009141332133160</v>
      </c>
      <c r="C1746" s="8" t="s">
        <v>9</v>
      </c>
      <c r="D1746" s="8" t="str">
        <f>"陈丹凤"</f>
        <v>陈丹凤</v>
      </c>
      <c r="E1746" s="8" t="str">
        <f t="shared" si="74"/>
        <v>女</v>
      </c>
      <c r="F1746" s="8" t="str">
        <f>"1992-09-28"</f>
        <v>1992-09-28</v>
      </c>
      <c r="G1746" s="9"/>
    </row>
    <row r="1747" spans="1:7" ht="13.5">
      <c r="A1747" s="7">
        <v>1745</v>
      </c>
      <c r="B1747" s="8" t="str">
        <f>"2341202009141423473174"</f>
        <v>2341202009141423473174</v>
      </c>
      <c r="C1747" s="8" t="s">
        <v>9</v>
      </c>
      <c r="D1747" s="8" t="str">
        <f>"王秀颖"</f>
        <v>王秀颖</v>
      </c>
      <c r="E1747" s="8" t="str">
        <f t="shared" si="74"/>
        <v>女</v>
      </c>
      <c r="F1747" s="8" t="str">
        <f>"1996-11-22"</f>
        <v>1996-11-22</v>
      </c>
      <c r="G1747" s="9"/>
    </row>
    <row r="1748" spans="1:7" ht="13.5">
      <c r="A1748" s="7">
        <v>1746</v>
      </c>
      <c r="B1748" s="8" t="str">
        <f>"2341202009141427253175"</f>
        <v>2341202009141427253175</v>
      </c>
      <c r="C1748" s="8" t="s">
        <v>9</v>
      </c>
      <c r="D1748" s="8" t="str">
        <f>"林小妹"</f>
        <v>林小妹</v>
      </c>
      <c r="E1748" s="8" t="str">
        <f t="shared" si="74"/>
        <v>女</v>
      </c>
      <c r="F1748" s="8" t="str">
        <f>"1990-08-07"</f>
        <v>1990-08-07</v>
      </c>
      <c r="G1748" s="9"/>
    </row>
    <row r="1749" spans="1:7" ht="13.5">
      <c r="A1749" s="7">
        <v>1747</v>
      </c>
      <c r="B1749" s="8" t="str">
        <f>"2341202009141443313183"</f>
        <v>2341202009141443313183</v>
      </c>
      <c r="C1749" s="8" t="s">
        <v>9</v>
      </c>
      <c r="D1749" s="8" t="str">
        <f>"吴小雪"</f>
        <v>吴小雪</v>
      </c>
      <c r="E1749" s="8" t="str">
        <f t="shared" si="74"/>
        <v>女</v>
      </c>
      <c r="F1749" s="8" t="str">
        <f>"1996-02-08"</f>
        <v>1996-02-08</v>
      </c>
      <c r="G1749" s="9"/>
    </row>
    <row r="1750" spans="1:7" ht="13.5">
      <c r="A1750" s="7">
        <v>1748</v>
      </c>
      <c r="B1750" s="8" t="str">
        <f>"2341202009141444193185"</f>
        <v>2341202009141444193185</v>
      </c>
      <c r="C1750" s="8" t="s">
        <v>9</v>
      </c>
      <c r="D1750" s="8" t="str">
        <f>"李华冰"</f>
        <v>李华冰</v>
      </c>
      <c r="E1750" s="8" t="str">
        <f t="shared" si="74"/>
        <v>女</v>
      </c>
      <c r="F1750" s="8" t="str">
        <f>"1995-02-05"</f>
        <v>1995-02-05</v>
      </c>
      <c r="G1750" s="9"/>
    </row>
    <row r="1751" spans="1:7" ht="13.5">
      <c r="A1751" s="7">
        <v>1749</v>
      </c>
      <c r="B1751" s="8" t="str">
        <f>"2341202009141454213193"</f>
        <v>2341202009141454213193</v>
      </c>
      <c r="C1751" s="8" t="s">
        <v>9</v>
      </c>
      <c r="D1751" s="8" t="str">
        <f>"胡皇芳"</f>
        <v>胡皇芳</v>
      </c>
      <c r="E1751" s="8" t="str">
        <f t="shared" si="74"/>
        <v>女</v>
      </c>
      <c r="F1751" s="8" t="str">
        <f>"1992-07-27"</f>
        <v>1992-07-27</v>
      </c>
      <c r="G1751" s="9"/>
    </row>
    <row r="1752" spans="1:7" ht="13.5">
      <c r="A1752" s="7">
        <v>1750</v>
      </c>
      <c r="B1752" s="8" t="str">
        <f>"2341202009141505233201"</f>
        <v>2341202009141505233201</v>
      </c>
      <c r="C1752" s="8" t="s">
        <v>9</v>
      </c>
      <c r="D1752" s="8" t="str">
        <f>"潘娇曼"</f>
        <v>潘娇曼</v>
      </c>
      <c r="E1752" s="8" t="str">
        <f t="shared" si="74"/>
        <v>女</v>
      </c>
      <c r="F1752" s="8" t="str">
        <f>"1992-10-13"</f>
        <v>1992-10-13</v>
      </c>
      <c r="G1752" s="9"/>
    </row>
    <row r="1753" spans="1:7" ht="13.5">
      <c r="A1753" s="7">
        <v>1751</v>
      </c>
      <c r="B1753" s="8" t="str">
        <f>"2341202009141518463208"</f>
        <v>2341202009141518463208</v>
      </c>
      <c r="C1753" s="8" t="s">
        <v>9</v>
      </c>
      <c r="D1753" s="8" t="str">
        <f>"宁文姣"</f>
        <v>宁文姣</v>
      </c>
      <c r="E1753" s="8" t="str">
        <f t="shared" si="74"/>
        <v>女</v>
      </c>
      <c r="F1753" s="8" t="str">
        <f>"1987-06-02"</f>
        <v>1987-06-02</v>
      </c>
      <c r="G1753" s="9"/>
    </row>
    <row r="1754" spans="1:7" ht="13.5">
      <c r="A1754" s="7">
        <v>1752</v>
      </c>
      <c r="B1754" s="8" t="str">
        <f>"2341202009141519483211"</f>
        <v>2341202009141519483211</v>
      </c>
      <c r="C1754" s="8" t="s">
        <v>9</v>
      </c>
      <c r="D1754" s="8" t="str">
        <f>"韩芳"</f>
        <v>韩芳</v>
      </c>
      <c r="E1754" s="8" t="str">
        <f t="shared" si="74"/>
        <v>女</v>
      </c>
      <c r="F1754" s="8" t="str">
        <f>"1996-06-01"</f>
        <v>1996-06-01</v>
      </c>
      <c r="G1754" s="9"/>
    </row>
    <row r="1755" spans="1:7" ht="13.5">
      <c r="A1755" s="7">
        <v>1753</v>
      </c>
      <c r="B1755" s="8" t="str">
        <f>"2341202009141523153214"</f>
        <v>2341202009141523153214</v>
      </c>
      <c r="C1755" s="8" t="s">
        <v>9</v>
      </c>
      <c r="D1755" s="8" t="str">
        <f>"戚小娜"</f>
        <v>戚小娜</v>
      </c>
      <c r="E1755" s="8" t="str">
        <f t="shared" si="74"/>
        <v>女</v>
      </c>
      <c r="F1755" s="8" t="str">
        <f>"1992-02-29"</f>
        <v>1992-02-29</v>
      </c>
      <c r="G1755" s="9"/>
    </row>
    <row r="1756" spans="1:7" ht="13.5">
      <c r="A1756" s="7">
        <v>1754</v>
      </c>
      <c r="B1756" s="8" t="str">
        <f>"2341202009141531493219"</f>
        <v>2341202009141531493219</v>
      </c>
      <c r="C1756" s="8" t="s">
        <v>9</v>
      </c>
      <c r="D1756" s="8" t="str">
        <f>"李之萍"</f>
        <v>李之萍</v>
      </c>
      <c r="E1756" s="8" t="str">
        <f t="shared" si="74"/>
        <v>女</v>
      </c>
      <c r="F1756" s="8" t="str">
        <f>"1996-09-23"</f>
        <v>1996-09-23</v>
      </c>
      <c r="G1756" s="9"/>
    </row>
    <row r="1757" spans="1:7" ht="13.5">
      <c r="A1757" s="7">
        <v>1755</v>
      </c>
      <c r="B1757" s="8" t="str">
        <f>"2341202009141555003230"</f>
        <v>2341202009141555003230</v>
      </c>
      <c r="C1757" s="8" t="s">
        <v>9</v>
      </c>
      <c r="D1757" s="8" t="str">
        <f>"冯绍驰"</f>
        <v>冯绍驰</v>
      </c>
      <c r="E1757" s="8" t="str">
        <f>"男"</f>
        <v>男</v>
      </c>
      <c r="F1757" s="8" t="str">
        <f>"1994-03-05"</f>
        <v>1994-03-05</v>
      </c>
      <c r="G1757" s="9"/>
    </row>
    <row r="1758" spans="1:7" ht="13.5">
      <c r="A1758" s="7">
        <v>1756</v>
      </c>
      <c r="B1758" s="8" t="str">
        <f>"2341202009141559523234"</f>
        <v>2341202009141559523234</v>
      </c>
      <c r="C1758" s="8" t="s">
        <v>9</v>
      </c>
      <c r="D1758" s="8" t="str">
        <f>"王静"</f>
        <v>王静</v>
      </c>
      <c r="E1758" s="8" t="str">
        <f aca="true" t="shared" si="75" ref="E1758:E1771">"女"</f>
        <v>女</v>
      </c>
      <c r="F1758" s="8" t="str">
        <f>"1997-05-07"</f>
        <v>1997-05-07</v>
      </c>
      <c r="G1758" s="9"/>
    </row>
    <row r="1759" spans="1:7" ht="13.5">
      <c r="A1759" s="7">
        <v>1757</v>
      </c>
      <c r="B1759" s="8" t="str">
        <f>"2341202009141600383235"</f>
        <v>2341202009141600383235</v>
      </c>
      <c r="C1759" s="8" t="s">
        <v>9</v>
      </c>
      <c r="D1759" s="8" t="str">
        <f>"邢维思"</f>
        <v>邢维思</v>
      </c>
      <c r="E1759" s="8" t="str">
        <f t="shared" si="75"/>
        <v>女</v>
      </c>
      <c r="F1759" s="8" t="str">
        <f>"1994-08-02"</f>
        <v>1994-08-02</v>
      </c>
      <c r="G1759" s="9"/>
    </row>
    <row r="1760" spans="1:7" ht="13.5">
      <c r="A1760" s="7">
        <v>1758</v>
      </c>
      <c r="B1760" s="8" t="str">
        <f>"2341202009141600533236"</f>
        <v>2341202009141600533236</v>
      </c>
      <c r="C1760" s="8" t="s">
        <v>9</v>
      </c>
      <c r="D1760" s="8" t="str">
        <f>"李茜茜"</f>
        <v>李茜茜</v>
      </c>
      <c r="E1760" s="8" t="str">
        <f t="shared" si="75"/>
        <v>女</v>
      </c>
      <c r="F1760" s="8" t="str">
        <f>"1995-01-24"</f>
        <v>1995-01-24</v>
      </c>
      <c r="G1760" s="9"/>
    </row>
    <row r="1761" spans="1:7" ht="13.5">
      <c r="A1761" s="7">
        <v>1759</v>
      </c>
      <c r="B1761" s="8" t="str">
        <f>"2341202009141615323242"</f>
        <v>2341202009141615323242</v>
      </c>
      <c r="C1761" s="8" t="s">
        <v>9</v>
      </c>
      <c r="D1761" s="8" t="str">
        <f>"郑霞霞"</f>
        <v>郑霞霞</v>
      </c>
      <c r="E1761" s="8" t="str">
        <f t="shared" si="75"/>
        <v>女</v>
      </c>
      <c r="F1761" s="8" t="str">
        <f>"1996-08-06"</f>
        <v>1996-08-06</v>
      </c>
      <c r="G1761" s="9"/>
    </row>
    <row r="1762" spans="1:7" ht="13.5">
      <c r="A1762" s="7">
        <v>1760</v>
      </c>
      <c r="B1762" s="8" t="str">
        <f>"2341202009141620343246"</f>
        <v>2341202009141620343246</v>
      </c>
      <c r="C1762" s="8" t="s">
        <v>9</v>
      </c>
      <c r="D1762" s="8" t="str">
        <f>"洪宁"</f>
        <v>洪宁</v>
      </c>
      <c r="E1762" s="8" t="str">
        <f t="shared" si="75"/>
        <v>女</v>
      </c>
      <c r="F1762" s="8" t="str">
        <f>"1994-09-24"</f>
        <v>1994-09-24</v>
      </c>
      <c r="G1762" s="9"/>
    </row>
    <row r="1763" spans="1:7" ht="13.5">
      <c r="A1763" s="7">
        <v>1761</v>
      </c>
      <c r="B1763" s="8" t="str">
        <f>"2341202009141632223253"</f>
        <v>2341202009141632223253</v>
      </c>
      <c r="C1763" s="8" t="s">
        <v>9</v>
      </c>
      <c r="D1763" s="8" t="str">
        <f>"张田田"</f>
        <v>张田田</v>
      </c>
      <c r="E1763" s="8" t="str">
        <f t="shared" si="75"/>
        <v>女</v>
      </c>
      <c r="F1763" s="8" t="str">
        <f>"1991-10-20"</f>
        <v>1991-10-20</v>
      </c>
      <c r="G1763" s="9"/>
    </row>
    <row r="1764" spans="1:7" ht="13.5">
      <c r="A1764" s="7">
        <v>1762</v>
      </c>
      <c r="B1764" s="8" t="str">
        <f>"2341202008310901464"</f>
        <v>2341202008310901464</v>
      </c>
      <c r="C1764" s="8" t="s">
        <v>10</v>
      </c>
      <c r="D1764" s="8" t="str">
        <f>"周洁"</f>
        <v>周洁</v>
      </c>
      <c r="E1764" s="8" t="str">
        <f t="shared" si="75"/>
        <v>女</v>
      </c>
      <c r="F1764" s="8" t="str">
        <f>"1999-04-03"</f>
        <v>1999-04-03</v>
      </c>
      <c r="G1764" s="9"/>
    </row>
    <row r="1765" spans="1:7" ht="13.5">
      <c r="A1765" s="7">
        <v>1763</v>
      </c>
      <c r="B1765" s="8" t="str">
        <f>"2341202008310902299"</f>
        <v>2341202008310902299</v>
      </c>
      <c r="C1765" s="8" t="s">
        <v>10</v>
      </c>
      <c r="D1765" s="8" t="str">
        <f>"樊国瑞"</f>
        <v>樊国瑞</v>
      </c>
      <c r="E1765" s="8" t="str">
        <f t="shared" si="75"/>
        <v>女</v>
      </c>
      <c r="F1765" s="8" t="str">
        <f>"1989-02-20"</f>
        <v>1989-02-20</v>
      </c>
      <c r="G1765" s="9"/>
    </row>
    <row r="1766" spans="1:7" ht="13.5">
      <c r="A1766" s="7">
        <v>1764</v>
      </c>
      <c r="B1766" s="8" t="str">
        <f>"23412020083109101113"</f>
        <v>23412020083109101113</v>
      </c>
      <c r="C1766" s="8" t="s">
        <v>10</v>
      </c>
      <c r="D1766" s="8" t="str">
        <f>"饶敏"</f>
        <v>饶敏</v>
      </c>
      <c r="E1766" s="8" t="str">
        <f t="shared" si="75"/>
        <v>女</v>
      </c>
      <c r="F1766" s="8" t="str">
        <f>"1992-10-27"</f>
        <v>1992-10-27</v>
      </c>
      <c r="G1766" s="9"/>
    </row>
    <row r="1767" spans="1:7" ht="13.5">
      <c r="A1767" s="7">
        <v>1765</v>
      </c>
      <c r="B1767" s="8" t="str">
        <f>"23412020083109111615"</f>
        <v>23412020083109111615</v>
      </c>
      <c r="C1767" s="8" t="s">
        <v>10</v>
      </c>
      <c r="D1767" s="8" t="str">
        <f>"杨娇娇"</f>
        <v>杨娇娇</v>
      </c>
      <c r="E1767" s="8" t="str">
        <f t="shared" si="75"/>
        <v>女</v>
      </c>
      <c r="F1767" s="8" t="str">
        <f>"1995-01-06"</f>
        <v>1995-01-06</v>
      </c>
      <c r="G1767" s="9"/>
    </row>
    <row r="1768" spans="1:7" ht="13.5">
      <c r="A1768" s="7">
        <v>1766</v>
      </c>
      <c r="B1768" s="8" t="str">
        <f>"23412020083109185825"</f>
        <v>23412020083109185825</v>
      </c>
      <c r="C1768" s="8" t="s">
        <v>10</v>
      </c>
      <c r="D1768" s="8" t="str">
        <f>"宋子阳"</f>
        <v>宋子阳</v>
      </c>
      <c r="E1768" s="8" t="str">
        <f t="shared" si="75"/>
        <v>女</v>
      </c>
      <c r="F1768" s="8" t="str">
        <f>"1994-03-28"</f>
        <v>1994-03-28</v>
      </c>
      <c r="G1768" s="9"/>
    </row>
    <row r="1769" spans="1:7" ht="13.5">
      <c r="A1769" s="7">
        <v>1767</v>
      </c>
      <c r="B1769" s="8" t="str">
        <f>"23412020083109200726"</f>
        <v>23412020083109200726</v>
      </c>
      <c r="C1769" s="8" t="s">
        <v>10</v>
      </c>
      <c r="D1769" s="8" t="str">
        <f>"李秋"</f>
        <v>李秋</v>
      </c>
      <c r="E1769" s="8" t="str">
        <f t="shared" si="75"/>
        <v>女</v>
      </c>
      <c r="F1769" s="8" t="str">
        <f>"1985-08-20"</f>
        <v>1985-08-20</v>
      </c>
      <c r="G1769" s="9"/>
    </row>
    <row r="1770" spans="1:7" ht="13.5">
      <c r="A1770" s="7">
        <v>1768</v>
      </c>
      <c r="B1770" s="8" t="str">
        <f>"23412020083109222628"</f>
        <v>23412020083109222628</v>
      </c>
      <c r="C1770" s="8" t="s">
        <v>10</v>
      </c>
      <c r="D1770" s="8" t="str">
        <f>"戴王薇"</f>
        <v>戴王薇</v>
      </c>
      <c r="E1770" s="8" t="str">
        <f t="shared" si="75"/>
        <v>女</v>
      </c>
      <c r="F1770" s="8" t="str">
        <f>"1996-11-22"</f>
        <v>1996-11-22</v>
      </c>
      <c r="G1770" s="9"/>
    </row>
    <row r="1771" spans="1:7" ht="13.5">
      <c r="A1771" s="7">
        <v>1769</v>
      </c>
      <c r="B1771" s="8" t="str">
        <f>"23412020083109255633"</f>
        <v>23412020083109255633</v>
      </c>
      <c r="C1771" s="8" t="s">
        <v>10</v>
      </c>
      <c r="D1771" s="8" t="str">
        <f>"陈婧"</f>
        <v>陈婧</v>
      </c>
      <c r="E1771" s="8" t="str">
        <f t="shared" si="75"/>
        <v>女</v>
      </c>
      <c r="F1771" s="8" t="str">
        <f>"1991-04-29"</f>
        <v>1991-04-29</v>
      </c>
      <c r="G1771" s="9"/>
    </row>
    <row r="1772" spans="1:7" ht="13.5">
      <c r="A1772" s="7">
        <v>1770</v>
      </c>
      <c r="B1772" s="8" t="str">
        <f>"23412020083109270437"</f>
        <v>23412020083109270437</v>
      </c>
      <c r="C1772" s="8" t="s">
        <v>10</v>
      </c>
      <c r="D1772" s="8" t="str">
        <f>"孙令逸"</f>
        <v>孙令逸</v>
      </c>
      <c r="E1772" s="8" t="str">
        <f>"男"</f>
        <v>男</v>
      </c>
      <c r="F1772" s="8" t="str">
        <f>"1991-04-28"</f>
        <v>1991-04-28</v>
      </c>
      <c r="G1772" s="9"/>
    </row>
    <row r="1773" spans="1:7" ht="13.5">
      <c r="A1773" s="7">
        <v>1771</v>
      </c>
      <c r="B1773" s="8" t="str">
        <f>"23412020083109293940"</f>
        <v>23412020083109293940</v>
      </c>
      <c r="C1773" s="8" t="s">
        <v>10</v>
      </c>
      <c r="D1773" s="8" t="str">
        <f>"高丽"</f>
        <v>高丽</v>
      </c>
      <c r="E1773" s="8" t="str">
        <f aca="true" t="shared" si="76" ref="E1773:E1797">"女"</f>
        <v>女</v>
      </c>
      <c r="F1773" s="8" t="str">
        <f>"1997-10-21"</f>
        <v>1997-10-21</v>
      </c>
      <c r="G1773" s="9"/>
    </row>
    <row r="1774" spans="1:7" ht="13.5">
      <c r="A1774" s="7">
        <v>1772</v>
      </c>
      <c r="B1774" s="8" t="str">
        <f>"23412020083109464956"</f>
        <v>23412020083109464956</v>
      </c>
      <c r="C1774" s="8" t="s">
        <v>10</v>
      </c>
      <c r="D1774" s="8" t="str">
        <f>"黎舒宽"</f>
        <v>黎舒宽</v>
      </c>
      <c r="E1774" s="8" t="str">
        <f t="shared" si="76"/>
        <v>女</v>
      </c>
      <c r="F1774" s="8" t="str">
        <f>"1994-08-12"</f>
        <v>1994-08-12</v>
      </c>
      <c r="G1774" s="9"/>
    </row>
    <row r="1775" spans="1:7" ht="13.5">
      <c r="A1775" s="7">
        <v>1773</v>
      </c>
      <c r="B1775" s="8" t="str">
        <f>"23412020083109475958"</f>
        <v>23412020083109475958</v>
      </c>
      <c r="C1775" s="8" t="s">
        <v>10</v>
      </c>
      <c r="D1775" s="8" t="str">
        <f>"连丹敏"</f>
        <v>连丹敏</v>
      </c>
      <c r="E1775" s="8" t="str">
        <f t="shared" si="76"/>
        <v>女</v>
      </c>
      <c r="F1775" s="8" t="str">
        <f>"1994-05-21"</f>
        <v>1994-05-21</v>
      </c>
      <c r="G1775" s="9"/>
    </row>
    <row r="1776" spans="1:7" ht="13.5">
      <c r="A1776" s="7">
        <v>1774</v>
      </c>
      <c r="B1776" s="8" t="str">
        <f>"23412020083109540768"</f>
        <v>23412020083109540768</v>
      </c>
      <c r="C1776" s="8" t="s">
        <v>10</v>
      </c>
      <c r="D1776" s="8" t="str">
        <f>"蔡容"</f>
        <v>蔡容</v>
      </c>
      <c r="E1776" s="8" t="str">
        <f t="shared" si="76"/>
        <v>女</v>
      </c>
      <c r="F1776" s="8" t="str">
        <f>"1996-06-30"</f>
        <v>1996-06-30</v>
      </c>
      <c r="G1776" s="9"/>
    </row>
    <row r="1777" spans="1:7" ht="13.5">
      <c r="A1777" s="7">
        <v>1775</v>
      </c>
      <c r="B1777" s="8" t="str">
        <f>"23412020083109551170"</f>
        <v>23412020083109551170</v>
      </c>
      <c r="C1777" s="8" t="s">
        <v>10</v>
      </c>
      <c r="D1777" s="8" t="str">
        <f>"谭静洁"</f>
        <v>谭静洁</v>
      </c>
      <c r="E1777" s="8" t="str">
        <f t="shared" si="76"/>
        <v>女</v>
      </c>
      <c r="F1777" s="8" t="str">
        <f>"1997-01-04"</f>
        <v>1997-01-04</v>
      </c>
      <c r="G1777" s="9"/>
    </row>
    <row r="1778" spans="1:7" ht="13.5">
      <c r="A1778" s="7">
        <v>1776</v>
      </c>
      <c r="B1778" s="8" t="str">
        <f>"23412020083109592579"</f>
        <v>23412020083109592579</v>
      </c>
      <c r="C1778" s="8" t="s">
        <v>10</v>
      </c>
      <c r="D1778" s="8" t="str">
        <f>"吴贤花"</f>
        <v>吴贤花</v>
      </c>
      <c r="E1778" s="8" t="str">
        <f t="shared" si="76"/>
        <v>女</v>
      </c>
      <c r="F1778" s="8" t="str">
        <f>"1996-04-11"</f>
        <v>1996-04-11</v>
      </c>
      <c r="G1778" s="9"/>
    </row>
    <row r="1779" spans="1:7" ht="13.5">
      <c r="A1779" s="7">
        <v>1777</v>
      </c>
      <c r="B1779" s="8" t="str">
        <f>"23412020083110040287"</f>
        <v>23412020083110040287</v>
      </c>
      <c r="C1779" s="8" t="s">
        <v>10</v>
      </c>
      <c r="D1779" s="8" t="str">
        <f>"陈健"</f>
        <v>陈健</v>
      </c>
      <c r="E1779" s="8" t="str">
        <f t="shared" si="76"/>
        <v>女</v>
      </c>
      <c r="F1779" s="8" t="str">
        <f>"1993-05-02"</f>
        <v>1993-05-02</v>
      </c>
      <c r="G1779" s="9"/>
    </row>
    <row r="1780" spans="1:7" ht="13.5">
      <c r="A1780" s="7">
        <v>1778</v>
      </c>
      <c r="B1780" s="8" t="str">
        <f>"23412020083110063791"</f>
        <v>23412020083110063791</v>
      </c>
      <c r="C1780" s="8" t="s">
        <v>10</v>
      </c>
      <c r="D1780" s="8" t="str">
        <f>"林鸿蓉"</f>
        <v>林鸿蓉</v>
      </c>
      <c r="E1780" s="8" t="str">
        <f t="shared" si="76"/>
        <v>女</v>
      </c>
      <c r="F1780" s="8" t="str">
        <f>"1993-05-19"</f>
        <v>1993-05-19</v>
      </c>
      <c r="G1780" s="9"/>
    </row>
    <row r="1781" spans="1:7" ht="13.5">
      <c r="A1781" s="7">
        <v>1779</v>
      </c>
      <c r="B1781" s="8" t="str">
        <f>"23412020083110105697"</f>
        <v>23412020083110105697</v>
      </c>
      <c r="C1781" s="8" t="s">
        <v>10</v>
      </c>
      <c r="D1781" s="8" t="str">
        <f>"黄小滨"</f>
        <v>黄小滨</v>
      </c>
      <c r="E1781" s="8" t="str">
        <f t="shared" si="76"/>
        <v>女</v>
      </c>
      <c r="F1781" s="8" t="str">
        <f>"1996-08-20"</f>
        <v>1996-08-20</v>
      </c>
      <c r="G1781" s="9"/>
    </row>
    <row r="1782" spans="1:7" ht="13.5">
      <c r="A1782" s="7">
        <v>1780</v>
      </c>
      <c r="B1782" s="8" t="str">
        <f>"23412020083110112098"</f>
        <v>23412020083110112098</v>
      </c>
      <c r="C1782" s="8" t="s">
        <v>10</v>
      </c>
      <c r="D1782" s="8" t="str">
        <f>"龙瑜"</f>
        <v>龙瑜</v>
      </c>
      <c r="E1782" s="8" t="str">
        <f t="shared" si="76"/>
        <v>女</v>
      </c>
      <c r="F1782" s="8" t="str">
        <f>"1998-06-16"</f>
        <v>1998-06-16</v>
      </c>
      <c r="G1782" s="9"/>
    </row>
    <row r="1783" spans="1:7" ht="13.5">
      <c r="A1783" s="7">
        <v>1781</v>
      </c>
      <c r="B1783" s="8" t="str">
        <f>"23412020083110114299"</f>
        <v>23412020083110114299</v>
      </c>
      <c r="C1783" s="8" t="s">
        <v>10</v>
      </c>
      <c r="D1783" s="8" t="str">
        <f>"陈亚亲"</f>
        <v>陈亚亲</v>
      </c>
      <c r="E1783" s="8" t="str">
        <f t="shared" si="76"/>
        <v>女</v>
      </c>
      <c r="F1783" s="8" t="str">
        <f>"1992-12-01"</f>
        <v>1992-12-01</v>
      </c>
      <c r="G1783" s="9"/>
    </row>
    <row r="1784" spans="1:7" ht="13.5">
      <c r="A1784" s="7">
        <v>1782</v>
      </c>
      <c r="B1784" s="8" t="str">
        <f>"234120200831101829105"</f>
        <v>234120200831101829105</v>
      </c>
      <c r="C1784" s="8" t="s">
        <v>10</v>
      </c>
      <c r="D1784" s="8" t="str">
        <f>"李月"</f>
        <v>李月</v>
      </c>
      <c r="E1784" s="8" t="str">
        <f t="shared" si="76"/>
        <v>女</v>
      </c>
      <c r="F1784" s="8" t="str">
        <f>"1991-12-06"</f>
        <v>1991-12-06</v>
      </c>
      <c r="G1784" s="9"/>
    </row>
    <row r="1785" spans="1:7" ht="13.5">
      <c r="A1785" s="7">
        <v>1783</v>
      </c>
      <c r="B1785" s="8" t="str">
        <f>"234120200831102049108"</f>
        <v>234120200831102049108</v>
      </c>
      <c r="C1785" s="8" t="s">
        <v>10</v>
      </c>
      <c r="D1785" s="8" t="str">
        <f>"孙鸿娟"</f>
        <v>孙鸿娟</v>
      </c>
      <c r="E1785" s="8" t="str">
        <f t="shared" si="76"/>
        <v>女</v>
      </c>
      <c r="F1785" s="8" t="str">
        <f>"1995-04-13"</f>
        <v>1995-04-13</v>
      </c>
      <c r="G1785" s="9"/>
    </row>
    <row r="1786" spans="1:7" ht="13.5">
      <c r="A1786" s="7">
        <v>1784</v>
      </c>
      <c r="B1786" s="8" t="str">
        <f>"234120200831102106109"</f>
        <v>234120200831102106109</v>
      </c>
      <c r="C1786" s="8" t="s">
        <v>10</v>
      </c>
      <c r="D1786" s="8" t="str">
        <f>"傅恋芷"</f>
        <v>傅恋芷</v>
      </c>
      <c r="E1786" s="8" t="str">
        <f t="shared" si="76"/>
        <v>女</v>
      </c>
      <c r="F1786" s="8" t="str">
        <f>"1993-02-06"</f>
        <v>1993-02-06</v>
      </c>
      <c r="G1786" s="9"/>
    </row>
    <row r="1787" spans="1:7" ht="13.5">
      <c r="A1787" s="7">
        <v>1785</v>
      </c>
      <c r="B1787" s="8" t="str">
        <f>"234120200831103505130"</f>
        <v>234120200831103505130</v>
      </c>
      <c r="C1787" s="8" t="s">
        <v>10</v>
      </c>
      <c r="D1787" s="8" t="str">
        <f>"黎倩"</f>
        <v>黎倩</v>
      </c>
      <c r="E1787" s="8" t="str">
        <f t="shared" si="76"/>
        <v>女</v>
      </c>
      <c r="F1787" s="8" t="str">
        <f>"1997-06-01"</f>
        <v>1997-06-01</v>
      </c>
      <c r="G1787" s="9"/>
    </row>
    <row r="1788" spans="1:7" ht="13.5">
      <c r="A1788" s="7">
        <v>1786</v>
      </c>
      <c r="B1788" s="8" t="str">
        <f>"234120200831103827132"</f>
        <v>234120200831103827132</v>
      </c>
      <c r="C1788" s="8" t="s">
        <v>10</v>
      </c>
      <c r="D1788" s="8" t="str">
        <f>"冯婷"</f>
        <v>冯婷</v>
      </c>
      <c r="E1788" s="8" t="str">
        <f t="shared" si="76"/>
        <v>女</v>
      </c>
      <c r="F1788" s="8" t="str">
        <f>"1991-08-13"</f>
        <v>1991-08-13</v>
      </c>
      <c r="G1788" s="9"/>
    </row>
    <row r="1789" spans="1:7" ht="13.5">
      <c r="A1789" s="7">
        <v>1787</v>
      </c>
      <c r="B1789" s="8" t="str">
        <f>"234120200831104010134"</f>
        <v>234120200831104010134</v>
      </c>
      <c r="C1789" s="8" t="s">
        <v>10</v>
      </c>
      <c r="D1789" s="8" t="str">
        <f>"颜丹丹"</f>
        <v>颜丹丹</v>
      </c>
      <c r="E1789" s="8" t="str">
        <f t="shared" si="76"/>
        <v>女</v>
      </c>
      <c r="F1789" s="8" t="str">
        <f>"1995-05-07"</f>
        <v>1995-05-07</v>
      </c>
      <c r="G1789" s="9"/>
    </row>
    <row r="1790" spans="1:7" ht="13.5">
      <c r="A1790" s="7">
        <v>1788</v>
      </c>
      <c r="B1790" s="8" t="str">
        <f>"234120200831104500142"</f>
        <v>234120200831104500142</v>
      </c>
      <c r="C1790" s="8" t="s">
        <v>10</v>
      </c>
      <c r="D1790" s="8" t="str">
        <f>"王琴"</f>
        <v>王琴</v>
      </c>
      <c r="E1790" s="8" t="str">
        <f t="shared" si="76"/>
        <v>女</v>
      </c>
      <c r="F1790" s="8" t="str">
        <f>"1994-08-08"</f>
        <v>1994-08-08</v>
      </c>
      <c r="G1790" s="9"/>
    </row>
    <row r="1791" spans="1:7" ht="13.5">
      <c r="A1791" s="7">
        <v>1789</v>
      </c>
      <c r="B1791" s="8" t="str">
        <f>"234120200831104756144"</f>
        <v>234120200831104756144</v>
      </c>
      <c r="C1791" s="8" t="s">
        <v>10</v>
      </c>
      <c r="D1791" s="8" t="str">
        <f>"吴萍"</f>
        <v>吴萍</v>
      </c>
      <c r="E1791" s="8" t="str">
        <f t="shared" si="76"/>
        <v>女</v>
      </c>
      <c r="F1791" s="8" t="str">
        <f>"1993-12-03"</f>
        <v>1993-12-03</v>
      </c>
      <c r="G1791" s="9"/>
    </row>
    <row r="1792" spans="1:7" ht="13.5">
      <c r="A1792" s="7">
        <v>1790</v>
      </c>
      <c r="B1792" s="8" t="str">
        <f>"234120200831105147149"</f>
        <v>234120200831105147149</v>
      </c>
      <c r="C1792" s="8" t="s">
        <v>10</v>
      </c>
      <c r="D1792" s="8" t="str">
        <f>"张佳韵"</f>
        <v>张佳韵</v>
      </c>
      <c r="E1792" s="8" t="str">
        <f t="shared" si="76"/>
        <v>女</v>
      </c>
      <c r="F1792" s="8" t="str">
        <f>"1990-08-23"</f>
        <v>1990-08-23</v>
      </c>
      <c r="G1792" s="9"/>
    </row>
    <row r="1793" spans="1:7" ht="13.5">
      <c r="A1793" s="7">
        <v>1791</v>
      </c>
      <c r="B1793" s="8" t="str">
        <f>"234120200831105747154"</f>
        <v>234120200831105747154</v>
      </c>
      <c r="C1793" s="8" t="s">
        <v>10</v>
      </c>
      <c r="D1793" s="8" t="str">
        <f>"潘彩妹"</f>
        <v>潘彩妹</v>
      </c>
      <c r="E1793" s="8" t="str">
        <f t="shared" si="76"/>
        <v>女</v>
      </c>
      <c r="F1793" s="8" t="str">
        <f>"1992-12-16"</f>
        <v>1992-12-16</v>
      </c>
      <c r="G1793" s="9"/>
    </row>
    <row r="1794" spans="1:7" ht="13.5">
      <c r="A1794" s="7">
        <v>1792</v>
      </c>
      <c r="B1794" s="8" t="str">
        <f>"234120200831110112158"</f>
        <v>234120200831110112158</v>
      </c>
      <c r="C1794" s="8" t="s">
        <v>10</v>
      </c>
      <c r="D1794" s="8" t="str">
        <f>"何乾女"</f>
        <v>何乾女</v>
      </c>
      <c r="E1794" s="8" t="str">
        <f t="shared" si="76"/>
        <v>女</v>
      </c>
      <c r="F1794" s="8" t="str">
        <f>"1994-09-03"</f>
        <v>1994-09-03</v>
      </c>
      <c r="G1794" s="9"/>
    </row>
    <row r="1795" spans="1:7" ht="13.5">
      <c r="A1795" s="7">
        <v>1793</v>
      </c>
      <c r="B1795" s="8" t="str">
        <f>"234120200831110352162"</f>
        <v>234120200831110352162</v>
      </c>
      <c r="C1795" s="8" t="s">
        <v>10</v>
      </c>
      <c r="D1795" s="8" t="str">
        <f>"羊秀庆"</f>
        <v>羊秀庆</v>
      </c>
      <c r="E1795" s="8" t="str">
        <f t="shared" si="76"/>
        <v>女</v>
      </c>
      <c r="F1795" s="8" t="str">
        <f>"1996-03-15"</f>
        <v>1996-03-15</v>
      </c>
      <c r="G1795" s="9"/>
    </row>
    <row r="1796" spans="1:7" ht="13.5">
      <c r="A1796" s="7">
        <v>1794</v>
      </c>
      <c r="B1796" s="8" t="str">
        <f>"234120200831111024172"</f>
        <v>234120200831111024172</v>
      </c>
      <c r="C1796" s="8" t="s">
        <v>10</v>
      </c>
      <c r="D1796" s="8" t="str">
        <f>"邢美娟"</f>
        <v>邢美娟</v>
      </c>
      <c r="E1796" s="8" t="str">
        <f t="shared" si="76"/>
        <v>女</v>
      </c>
      <c r="F1796" s="8" t="str">
        <f>"1987-06-29"</f>
        <v>1987-06-29</v>
      </c>
      <c r="G1796" s="9"/>
    </row>
    <row r="1797" spans="1:7" ht="13.5">
      <c r="A1797" s="7">
        <v>1795</v>
      </c>
      <c r="B1797" s="8" t="str">
        <f>"234120200831111425174"</f>
        <v>234120200831111425174</v>
      </c>
      <c r="C1797" s="8" t="s">
        <v>10</v>
      </c>
      <c r="D1797" s="8" t="str">
        <f>"李佳馨"</f>
        <v>李佳馨</v>
      </c>
      <c r="E1797" s="8" t="str">
        <f t="shared" si="76"/>
        <v>女</v>
      </c>
      <c r="F1797" s="8" t="str">
        <f>"1997-11-25"</f>
        <v>1997-11-25</v>
      </c>
      <c r="G1797" s="9"/>
    </row>
    <row r="1798" spans="1:7" ht="13.5">
      <c r="A1798" s="7">
        <v>1796</v>
      </c>
      <c r="B1798" s="8" t="str">
        <f>"234120200831111709178"</f>
        <v>234120200831111709178</v>
      </c>
      <c r="C1798" s="8" t="s">
        <v>10</v>
      </c>
      <c r="D1798" s="8" t="str">
        <f>"殷礼亮"</f>
        <v>殷礼亮</v>
      </c>
      <c r="E1798" s="8" t="str">
        <f>"男"</f>
        <v>男</v>
      </c>
      <c r="F1798" s="8" t="str">
        <f>"1995-03-30"</f>
        <v>1995-03-30</v>
      </c>
      <c r="G1798" s="9"/>
    </row>
    <row r="1799" spans="1:7" ht="13.5">
      <c r="A1799" s="7">
        <v>1797</v>
      </c>
      <c r="B1799" s="8" t="str">
        <f>"234120200831111957183"</f>
        <v>234120200831111957183</v>
      </c>
      <c r="C1799" s="8" t="s">
        <v>10</v>
      </c>
      <c r="D1799" s="8" t="str">
        <f>"陈菊"</f>
        <v>陈菊</v>
      </c>
      <c r="E1799" s="8" t="str">
        <f aca="true" t="shared" si="77" ref="E1799:E1809">"女"</f>
        <v>女</v>
      </c>
      <c r="F1799" s="8" t="str">
        <f>"1987-12-08"</f>
        <v>1987-12-08</v>
      </c>
      <c r="G1799" s="9"/>
    </row>
    <row r="1800" spans="1:7" ht="13.5">
      <c r="A1800" s="7">
        <v>1798</v>
      </c>
      <c r="B1800" s="8" t="str">
        <f>"234120200831112124185"</f>
        <v>234120200831112124185</v>
      </c>
      <c r="C1800" s="8" t="s">
        <v>10</v>
      </c>
      <c r="D1800" s="8" t="str">
        <f>"程凤"</f>
        <v>程凤</v>
      </c>
      <c r="E1800" s="8" t="str">
        <f t="shared" si="77"/>
        <v>女</v>
      </c>
      <c r="F1800" s="8" t="str">
        <f>"1990-01-05"</f>
        <v>1990-01-05</v>
      </c>
      <c r="G1800" s="9"/>
    </row>
    <row r="1801" spans="1:7" ht="13.5">
      <c r="A1801" s="7">
        <v>1799</v>
      </c>
      <c r="B1801" s="8" t="str">
        <f>"234120200831112235186"</f>
        <v>234120200831112235186</v>
      </c>
      <c r="C1801" s="8" t="s">
        <v>10</v>
      </c>
      <c r="D1801" s="8" t="str">
        <f>"孙雪莹"</f>
        <v>孙雪莹</v>
      </c>
      <c r="E1801" s="8" t="str">
        <f t="shared" si="77"/>
        <v>女</v>
      </c>
      <c r="F1801" s="8" t="str">
        <f>"1997-12-10"</f>
        <v>1997-12-10</v>
      </c>
      <c r="G1801" s="9"/>
    </row>
    <row r="1802" spans="1:7" ht="13.5">
      <c r="A1802" s="7">
        <v>1800</v>
      </c>
      <c r="B1802" s="8" t="str">
        <f>"234120200831112242187"</f>
        <v>234120200831112242187</v>
      </c>
      <c r="C1802" s="8" t="s">
        <v>10</v>
      </c>
      <c r="D1802" s="8" t="str">
        <f>"王丽娜"</f>
        <v>王丽娜</v>
      </c>
      <c r="E1802" s="8" t="str">
        <f t="shared" si="77"/>
        <v>女</v>
      </c>
      <c r="F1802" s="8" t="str">
        <f>"1997-10-27"</f>
        <v>1997-10-27</v>
      </c>
      <c r="G1802" s="9"/>
    </row>
    <row r="1803" spans="1:7" ht="13.5">
      <c r="A1803" s="7">
        <v>1801</v>
      </c>
      <c r="B1803" s="8" t="str">
        <f>"234120200831113452198"</f>
        <v>234120200831113452198</v>
      </c>
      <c r="C1803" s="8" t="s">
        <v>10</v>
      </c>
      <c r="D1803" s="8" t="str">
        <f>"陈婷婷"</f>
        <v>陈婷婷</v>
      </c>
      <c r="E1803" s="8" t="str">
        <f t="shared" si="77"/>
        <v>女</v>
      </c>
      <c r="F1803" s="8" t="str">
        <f>"1991-11-23"</f>
        <v>1991-11-23</v>
      </c>
      <c r="G1803" s="9"/>
    </row>
    <row r="1804" spans="1:7" ht="13.5">
      <c r="A1804" s="7">
        <v>1802</v>
      </c>
      <c r="B1804" s="8" t="str">
        <f>"234120200831114452205"</f>
        <v>234120200831114452205</v>
      </c>
      <c r="C1804" s="8" t="s">
        <v>10</v>
      </c>
      <c r="D1804" s="8" t="str">
        <f>"段丽芳"</f>
        <v>段丽芳</v>
      </c>
      <c r="E1804" s="8" t="str">
        <f t="shared" si="77"/>
        <v>女</v>
      </c>
      <c r="F1804" s="8" t="str">
        <f>"1995-05-23"</f>
        <v>1995-05-23</v>
      </c>
      <c r="G1804" s="9"/>
    </row>
    <row r="1805" spans="1:7" ht="13.5">
      <c r="A1805" s="7">
        <v>1803</v>
      </c>
      <c r="B1805" s="8" t="str">
        <f>"234120200831121412236"</f>
        <v>234120200831121412236</v>
      </c>
      <c r="C1805" s="8" t="s">
        <v>10</v>
      </c>
      <c r="D1805" s="8" t="str">
        <f>"郑桦"</f>
        <v>郑桦</v>
      </c>
      <c r="E1805" s="8" t="str">
        <f t="shared" si="77"/>
        <v>女</v>
      </c>
      <c r="F1805" s="8" t="str">
        <f>"1996-11-01"</f>
        <v>1996-11-01</v>
      </c>
      <c r="G1805" s="9"/>
    </row>
    <row r="1806" spans="1:7" ht="13.5">
      <c r="A1806" s="7">
        <v>1804</v>
      </c>
      <c r="B1806" s="8" t="str">
        <f>"234120200831122950247"</f>
        <v>234120200831122950247</v>
      </c>
      <c r="C1806" s="8" t="s">
        <v>10</v>
      </c>
      <c r="D1806" s="8" t="str">
        <f>"曹天伦"</f>
        <v>曹天伦</v>
      </c>
      <c r="E1806" s="8" t="str">
        <f t="shared" si="77"/>
        <v>女</v>
      </c>
      <c r="F1806" s="8" t="str">
        <f>"1993-07-18"</f>
        <v>1993-07-18</v>
      </c>
      <c r="G1806" s="9"/>
    </row>
    <row r="1807" spans="1:7" ht="13.5">
      <c r="A1807" s="7">
        <v>1805</v>
      </c>
      <c r="B1807" s="8" t="str">
        <f>"234120200831123000248"</f>
        <v>234120200831123000248</v>
      </c>
      <c r="C1807" s="8" t="s">
        <v>10</v>
      </c>
      <c r="D1807" s="8" t="str">
        <f>"林小琴"</f>
        <v>林小琴</v>
      </c>
      <c r="E1807" s="8" t="str">
        <f t="shared" si="77"/>
        <v>女</v>
      </c>
      <c r="F1807" s="8" t="str">
        <f>"1984-10-15"</f>
        <v>1984-10-15</v>
      </c>
      <c r="G1807" s="9"/>
    </row>
    <row r="1808" spans="1:7" ht="13.5">
      <c r="A1808" s="7">
        <v>1806</v>
      </c>
      <c r="B1808" s="8" t="str">
        <f>"234120200831123745252"</f>
        <v>234120200831123745252</v>
      </c>
      <c r="C1808" s="8" t="s">
        <v>10</v>
      </c>
      <c r="D1808" s="8" t="str">
        <f>"章田婷"</f>
        <v>章田婷</v>
      </c>
      <c r="E1808" s="8" t="str">
        <f t="shared" si="77"/>
        <v>女</v>
      </c>
      <c r="F1808" s="8" t="str">
        <f>"1988-09-05"</f>
        <v>1988-09-05</v>
      </c>
      <c r="G1808" s="9"/>
    </row>
    <row r="1809" spans="1:7" ht="13.5">
      <c r="A1809" s="7">
        <v>1807</v>
      </c>
      <c r="B1809" s="8" t="str">
        <f>"234120200831124110254"</f>
        <v>234120200831124110254</v>
      </c>
      <c r="C1809" s="8" t="s">
        <v>10</v>
      </c>
      <c r="D1809" s="8" t="str">
        <f>"龙倩茹"</f>
        <v>龙倩茹</v>
      </c>
      <c r="E1809" s="8" t="str">
        <f t="shared" si="77"/>
        <v>女</v>
      </c>
      <c r="F1809" s="8" t="str">
        <f>"1997-10-16"</f>
        <v>1997-10-16</v>
      </c>
      <c r="G1809" s="9"/>
    </row>
    <row r="1810" spans="1:7" ht="13.5">
      <c r="A1810" s="7">
        <v>1808</v>
      </c>
      <c r="B1810" s="8" t="str">
        <f>"234120200831124447258"</f>
        <v>234120200831124447258</v>
      </c>
      <c r="C1810" s="8" t="s">
        <v>10</v>
      </c>
      <c r="D1810" s="8" t="str">
        <f>"李瑞喜"</f>
        <v>李瑞喜</v>
      </c>
      <c r="E1810" s="8" t="str">
        <f>"男"</f>
        <v>男</v>
      </c>
      <c r="F1810" s="8" t="str">
        <f>"1997-10-26"</f>
        <v>1997-10-26</v>
      </c>
      <c r="G1810" s="9"/>
    </row>
    <row r="1811" spans="1:7" ht="13.5">
      <c r="A1811" s="7">
        <v>1809</v>
      </c>
      <c r="B1811" s="8" t="str">
        <f>"234120200831125143269"</f>
        <v>234120200831125143269</v>
      </c>
      <c r="C1811" s="8" t="s">
        <v>10</v>
      </c>
      <c r="D1811" s="8" t="str">
        <f>"张小慧"</f>
        <v>张小慧</v>
      </c>
      <c r="E1811" s="8" t="str">
        <f aca="true" t="shared" si="78" ref="E1811:E1834">"女"</f>
        <v>女</v>
      </c>
      <c r="F1811" s="8" t="str">
        <f>"1996-12-06"</f>
        <v>1996-12-06</v>
      </c>
      <c r="G1811" s="9"/>
    </row>
    <row r="1812" spans="1:7" ht="13.5">
      <c r="A1812" s="7">
        <v>1810</v>
      </c>
      <c r="B1812" s="8" t="str">
        <f>"234120200831130050275"</f>
        <v>234120200831130050275</v>
      </c>
      <c r="C1812" s="8" t="s">
        <v>10</v>
      </c>
      <c r="D1812" s="8" t="str">
        <f>"邱方芳"</f>
        <v>邱方芳</v>
      </c>
      <c r="E1812" s="8" t="str">
        <f t="shared" si="78"/>
        <v>女</v>
      </c>
      <c r="F1812" s="8" t="str">
        <f>"1994-02-16"</f>
        <v>1994-02-16</v>
      </c>
      <c r="G1812" s="9"/>
    </row>
    <row r="1813" spans="1:7" ht="13.5">
      <c r="A1813" s="7">
        <v>1811</v>
      </c>
      <c r="B1813" s="8" t="str">
        <f>"234120200831130921282"</f>
        <v>234120200831130921282</v>
      </c>
      <c r="C1813" s="8" t="s">
        <v>10</v>
      </c>
      <c r="D1813" s="8" t="str">
        <f>"崔维菊"</f>
        <v>崔维菊</v>
      </c>
      <c r="E1813" s="8" t="str">
        <f t="shared" si="78"/>
        <v>女</v>
      </c>
      <c r="F1813" s="8" t="str">
        <f>"1986-09-29"</f>
        <v>1986-09-29</v>
      </c>
      <c r="G1813" s="9"/>
    </row>
    <row r="1814" spans="1:7" ht="13.5">
      <c r="A1814" s="7">
        <v>1812</v>
      </c>
      <c r="B1814" s="8" t="str">
        <f>"234120200831131103283"</f>
        <v>234120200831131103283</v>
      </c>
      <c r="C1814" s="8" t="s">
        <v>10</v>
      </c>
      <c r="D1814" s="8" t="str">
        <f>"陈小小"</f>
        <v>陈小小</v>
      </c>
      <c r="E1814" s="8" t="str">
        <f t="shared" si="78"/>
        <v>女</v>
      </c>
      <c r="F1814" s="8" t="str">
        <f>"1997-08-09"</f>
        <v>1997-08-09</v>
      </c>
      <c r="G1814" s="9"/>
    </row>
    <row r="1815" spans="1:7" ht="13.5">
      <c r="A1815" s="7">
        <v>1813</v>
      </c>
      <c r="B1815" s="8" t="str">
        <f>"234120200831131454284"</f>
        <v>234120200831131454284</v>
      </c>
      <c r="C1815" s="8" t="s">
        <v>10</v>
      </c>
      <c r="D1815" s="8" t="str">
        <f>"王梦思"</f>
        <v>王梦思</v>
      </c>
      <c r="E1815" s="8" t="str">
        <f t="shared" si="78"/>
        <v>女</v>
      </c>
      <c r="F1815" s="8" t="str">
        <f>"1993-10-15"</f>
        <v>1993-10-15</v>
      </c>
      <c r="G1815" s="9"/>
    </row>
    <row r="1816" spans="1:7" ht="13.5">
      <c r="A1816" s="7">
        <v>1814</v>
      </c>
      <c r="B1816" s="8" t="str">
        <f>"234120200831131701285"</f>
        <v>234120200831131701285</v>
      </c>
      <c r="C1816" s="8" t="s">
        <v>10</v>
      </c>
      <c r="D1816" s="8" t="str">
        <f>"陈少盈"</f>
        <v>陈少盈</v>
      </c>
      <c r="E1816" s="8" t="str">
        <f t="shared" si="78"/>
        <v>女</v>
      </c>
      <c r="F1816" s="8" t="str">
        <f>"1993-06-04"</f>
        <v>1993-06-04</v>
      </c>
      <c r="G1816" s="9"/>
    </row>
    <row r="1817" spans="1:7" ht="13.5">
      <c r="A1817" s="7">
        <v>1815</v>
      </c>
      <c r="B1817" s="8" t="str">
        <f>"234120200831133930290"</f>
        <v>234120200831133930290</v>
      </c>
      <c r="C1817" s="8" t="s">
        <v>10</v>
      </c>
      <c r="D1817" s="8" t="str">
        <f>"孙宁 "</f>
        <v>孙宁 </v>
      </c>
      <c r="E1817" s="8" t="str">
        <f t="shared" si="78"/>
        <v>女</v>
      </c>
      <c r="F1817" s="8" t="str">
        <f>"1996-05-06"</f>
        <v>1996-05-06</v>
      </c>
      <c r="G1817" s="9"/>
    </row>
    <row r="1818" spans="1:7" ht="13.5">
      <c r="A1818" s="7">
        <v>1816</v>
      </c>
      <c r="B1818" s="8" t="str">
        <f>"234120200831134758295"</f>
        <v>234120200831134758295</v>
      </c>
      <c r="C1818" s="8" t="s">
        <v>10</v>
      </c>
      <c r="D1818" s="8" t="str">
        <f>"颜春果"</f>
        <v>颜春果</v>
      </c>
      <c r="E1818" s="8" t="str">
        <f t="shared" si="78"/>
        <v>女</v>
      </c>
      <c r="F1818" s="8" t="str">
        <f>"1998-10-24"</f>
        <v>1998-10-24</v>
      </c>
      <c r="G1818" s="9"/>
    </row>
    <row r="1819" spans="1:7" ht="13.5">
      <c r="A1819" s="7">
        <v>1817</v>
      </c>
      <c r="B1819" s="8" t="str">
        <f>"234120200831140223305"</f>
        <v>234120200831140223305</v>
      </c>
      <c r="C1819" s="8" t="s">
        <v>10</v>
      </c>
      <c r="D1819" s="8" t="str">
        <f>"吕逸男"</f>
        <v>吕逸男</v>
      </c>
      <c r="E1819" s="8" t="str">
        <f t="shared" si="78"/>
        <v>女</v>
      </c>
      <c r="F1819" s="8" t="str">
        <f>"1993-11-19"</f>
        <v>1993-11-19</v>
      </c>
      <c r="G1819" s="9"/>
    </row>
    <row r="1820" spans="1:7" ht="13.5">
      <c r="A1820" s="7">
        <v>1818</v>
      </c>
      <c r="B1820" s="8" t="str">
        <f>"234120200831141058309"</f>
        <v>234120200831141058309</v>
      </c>
      <c r="C1820" s="8" t="s">
        <v>10</v>
      </c>
      <c r="D1820" s="8" t="str">
        <f>"杨钰琦"</f>
        <v>杨钰琦</v>
      </c>
      <c r="E1820" s="8" t="str">
        <f t="shared" si="78"/>
        <v>女</v>
      </c>
      <c r="F1820" s="8" t="str">
        <f>"1989-09-15"</f>
        <v>1989-09-15</v>
      </c>
      <c r="G1820" s="9"/>
    </row>
    <row r="1821" spans="1:7" ht="13.5">
      <c r="A1821" s="7">
        <v>1819</v>
      </c>
      <c r="B1821" s="8" t="str">
        <f>"234120200831141136310"</f>
        <v>234120200831141136310</v>
      </c>
      <c r="C1821" s="8" t="s">
        <v>10</v>
      </c>
      <c r="D1821" s="8" t="str">
        <f>"谢少玲"</f>
        <v>谢少玲</v>
      </c>
      <c r="E1821" s="8" t="str">
        <f t="shared" si="78"/>
        <v>女</v>
      </c>
      <c r="F1821" s="8" t="str">
        <f>"1994-01-07"</f>
        <v>1994-01-07</v>
      </c>
      <c r="G1821" s="9"/>
    </row>
    <row r="1822" spans="1:7" ht="13.5">
      <c r="A1822" s="7">
        <v>1820</v>
      </c>
      <c r="B1822" s="8" t="str">
        <f>"234120200831143801321"</f>
        <v>234120200831143801321</v>
      </c>
      <c r="C1822" s="8" t="s">
        <v>10</v>
      </c>
      <c r="D1822" s="8" t="str">
        <f>"罗龙凤"</f>
        <v>罗龙凤</v>
      </c>
      <c r="E1822" s="8" t="str">
        <f t="shared" si="78"/>
        <v>女</v>
      </c>
      <c r="F1822" s="8" t="str">
        <f>"1991-02-27"</f>
        <v>1991-02-27</v>
      </c>
      <c r="G1822" s="9"/>
    </row>
    <row r="1823" spans="1:7" ht="13.5">
      <c r="A1823" s="7">
        <v>1821</v>
      </c>
      <c r="B1823" s="8" t="str">
        <f>"234120200831144618326"</f>
        <v>234120200831144618326</v>
      </c>
      <c r="C1823" s="8" t="s">
        <v>10</v>
      </c>
      <c r="D1823" s="8" t="str">
        <f>"陈小妹"</f>
        <v>陈小妹</v>
      </c>
      <c r="E1823" s="8" t="str">
        <f t="shared" si="78"/>
        <v>女</v>
      </c>
      <c r="F1823" s="8" t="str">
        <f>"1992-08-18"</f>
        <v>1992-08-18</v>
      </c>
      <c r="G1823" s="9"/>
    </row>
    <row r="1824" spans="1:7" ht="13.5">
      <c r="A1824" s="7">
        <v>1822</v>
      </c>
      <c r="B1824" s="8" t="str">
        <f>"234120200831144711327"</f>
        <v>234120200831144711327</v>
      </c>
      <c r="C1824" s="8" t="s">
        <v>10</v>
      </c>
      <c r="D1824" s="8" t="str">
        <f>"黄瑶瑶"</f>
        <v>黄瑶瑶</v>
      </c>
      <c r="E1824" s="8" t="str">
        <f t="shared" si="78"/>
        <v>女</v>
      </c>
      <c r="F1824" s="8" t="str">
        <f>"1994-01-25"</f>
        <v>1994-01-25</v>
      </c>
      <c r="G1824" s="9"/>
    </row>
    <row r="1825" spans="1:7" ht="13.5">
      <c r="A1825" s="7">
        <v>1823</v>
      </c>
      <c r="B1825" s="8" t="str">
        <f>"234120200831144835329"</f>
        <v>234120200831144835329</v>
      </c>
      <c r="C1825" s="8" t="s">
        <v>10</v>
      </c>
      <c r="D1825" s="8" t="str">
        <f>"周丹丹"</f>
        <v>周丹丹</v>
      </c>
      <c r="E1825" s="8" t="str">
        <f t="shared" si="78"/>
        <v>女</v>
      </c>
      <c r="F1825" s="8" t="str">
        <f>"1996-10-07"</f>
        <v>1996-10-07</v>
      </c>
      <c r="G1825" s="9"/>
    </row>
    <row r="1826" spans="1:7" ht="13.5">
      <c r="A1826" s="7">
        <v>1824</v>
      </c>
      <c r="B1826" s="8" t="str">
        <f>"234120200831150339334"</f>
        <v>234120200831150339334</v>
      </c>
      <c r="C1826" s="8" t="s">
        <v>10</v>
      </c>
      <c r="D1826" s="8" t="str">
        <f>"杜秀明"</f>
        <v>杜秀明</v>
      </c>
      <c r="E1826" s="8" t="str">
        <f t="shared" si="78"/>
        <v>女</v>
      </c>
      <c r="F1826" s="8" t="str">
        <f>"1988-07-08"</f>
        <v>1988-07-08</v>
      </c>
      <c r="G1826" s="9"/>
    </row>
    <row r="1827" spans="1:7" ht="13.5">
      <c r="A1827" s="7">
        <v>1825</v>
      </c>
      <c r="B1827" s="8" t="str">
        <f>"234120200831150523336"</f>
        <v>234120200831150523336</v>
      </c>
      <c r="C1827" s="8" t="s">
        <v>10</v>
      </c>
      <c r="D1827" s="8" t="str">
        <f>"吴钟恒"</f>
        <v>吴钟恒</v>
      </c>
      <c r="E1827" s="8" t="str">
        <f t="shared" si="78"/>
        <v>女</v>
      </c>
      <c r="F1827" s="8" t="str">
        <f>"1995-08-16"</f>
        <v>1995-08-16</v>
      </c>
      <c r="G1827" s="9"/>
    </row>
    <row r="1828" spans="1:7" ht="13.5">
      <c r="A1828" s="7">
        <v>1826</v>
      </c>
      <c r="B1828" s="8" t="str">
        <f>"234120200831150643338"</f>
        <v>234120200831150643338</v>
      </c>
      <c r="C1828" s="8" t="s">
        <v>10</v>
      </c>
      <c r="D1828" s="8" t="str">
        <f>"何先茹"</f>
        <v>何先茹</v>
      </c>
      <c r="E1828" s="8" t="str">
        <f t="shared" si="78"/>
        <v>女</v>
      </c>
      <c r="F1828" s="8" t="str">
        <f>"1997-08-11"</f>
        <v>1997-08-11</v>
      </c>
      <c r="G1828" s="9"/>
    </row>
    <row r="1829" spans="1:7" ht="13.5">
      <c r="A1829" s="7">
        <v>1827</v>
      </c>
      <c r="B1829" s="8" t="str">
        <f>"234120200831151510344"</f>
        <v>234120200831151510344</v>
      </c>
      <c r="C1829" s="8" t="s">
        <v>10</v>
      </c>
      <c r="D1829" s="8" t="str">
        <f>"张晓婷"</f>
        <v>张晓婷</v>
      </c>
      <c r="E1829" s="8" t="str">
        <f t="shared" si="78"/>
        <v>女</v>
      </c>
      <c r="F1829" s="8" t="str">
        <f>"1993-06-05"</f>
        <v>1993-06-05</v>
      </c>
      <c r="G1829" s="9"/>
    </row>
    <row r="1830" spans="1:7" ht="13.5">
      <c r="A1830" s="7">
        <v>1828</v>
      </c>
      <c r="B1830" s="8" t="str">
        <f>"234120200831151739350"</f>
        <v>234120200831151739350</v>
      </c>
      <c r="C1830" s="8" t="s">
        <v>10</v>
      </c>
      <c r="D1830" s="8" t="str">
        <f>"苏其娜"</f>
        <v>苏其娜</v>
      </c>
      <c r="E1830" s="8" t="str">
        <f t="shared" si="78"/>
        <v>女</v>
      </c>
      <c r="F1830" s="8" t="str">
        <f>"1993-06-17"</f>
        <v>1993-06-17</v>
      </c>
      <c r="G1830" s="9"/>
    </row>
    <row r="1831" spans="1:7" ht="13.5">
      <c r="A1831" s="7">
        <v>1829</v>
      </c>
      <c r="B1831" s="8" t="str">
        <f>"234120200831152943354"</f>
        <v>234120200831152943354</v>
      </c>
      <c r="C1831" s="8" t="s">
        <v>10</v>
      </c>
      <c r="D1831" s="8" t="str">
        <f>"唐金余"</f>
        <v>唐金余</v>
      </c>
      <c r="E1831" s="8" t="str">
        <f t="shared" si="78"/>
        <v>女</v>
      </c>
      <c r="F1831" s="8" t="str">
        <f>"1995-12-02"</f>
        <v>1995-12-02</v>
      </c>
      <c r="G1831" s="9"/>
    </row>
    <row r="1832" spans="1:7" ht="13.5">
      <c r="A1832" s="7">
        <v>1830</v>
      </c>
      <c r="B1832" s="8" t="str">
        <f>"234120200831153518360"</f>
        <v>234120200831153518360</v>
      </c>
      <c r="C1832" s="8" t="s">
        <v>10</v>
      </c>
      <c r="D1832" s="8" t="str">
        <f>"林声芳"</f>
        <v>林声芳</v>
      </c>
      <c r="E1832" s="8" t="str">
        <f t="shared" si="78"/>
        <v>女</v>
      </c>
      <c r="F1832" s="8" t="str">
        <f>"1991-09-19"</f>
        <v>1991-09-19</v>
      </c>
      <c r="G1832" s="9"/>
    </row>
    <row r="1833" spans="1:7" ht="13.5">
      <c r="A1833" s="7">
        <v>1831</v>
      </c>
      <c r="B1833" s="8" t="str">
        <f>"234120200831162353383"</f>
        <v>234120200831162353383</v>
      </c>
      <c r="C1833" s="8" t="s">
        <v>10</v>
      </c>
      <c r="D1833" s="8" t="str">
        <f>"吴冠英"</f>
        <v>吴冠英</v>
      </c>
      <c r="E1833" s="8" t="str">
        <f t="shared" si="78"/>
        <v>女</v>
      </c>
      <c r="F1833" s="8" t="str">
        <f>"1996-01-12"</f>
        <v>1996-01-12</v>
      </c>
      <c r="G1833" s="9"/>
    </row>
    <row r="1834" spans="1:7" ht="13.5">
      <c r="A1834" s="7">
        <v>1832</v>
      </c>
      <c r="B1834" s="8" t="str">
        <f>"234120200831162550385"</f>
        <v>234120200831162550385</v>
      </c>
      <c r="C1834" s="8" t="s">
        <v>10</v>
      </c>
      <c r="D1834" s="8" t="str">
        <f>"尹惠"</f>
        <v>尹惠</v>
      </c>
      <c r="E1834" s="8" t="str">
        <f t="shared" si="78"/>
        <v>女</v>
      </c>
      <c r="F1834" s="8" t="str">
        <f>"1995-11-02"</f>
        <v>1995-11-02</v>
      </c>
      <c r="G1834" s="9"/>
    </row>
    <row r="1835" spans="1:7" ht="13.5">
      <c r="A1835" s="7">
        <v>1833</v>
      </c>
      <c r="B1835" s="8" t="str">
        <f>"234120200831163059387"</f>
        <v>234120200831163059387</v>
      </c>
      <c r="C1835" s="8" t="s">
        <v>10</v>
      </c>
      <c r="D1835" s="8" t="str">
        <f>"胡浩凯"</f>
        <v>胡浩凯</v>
      </c>
      <c r="E1835" s="8" t="str">
        <f>"男"</f>
        <v>男</v>
      </c>
      <c r="F1835" s="8" t="str">
        <f>"1987-10-02"</f>
        <v>1987-10-02</v>
      </c>
      <c r="G1835" s="9"/>
    </row>
    <row r="1836" spans="1:7" ht="13.5">
      <c r="A1836" s="7">
        <v>1834</v>
      </c>
      <c r="B1836" s="8" t="str">
        <f>"234120200831163419389"</f>
        <v>234120200831163419389</v>
      </c>
      <c r="C1836" s="8" t="s">
        <v>10</v>
      </c>
      <c r="D1836" s="8" t="str">
        <f>"郑婷"</f>
        <v>郑婷</v>
      </c>
      <c r="E1836" s="8" t="str">
        <f>"女"</f>
        <v>女</v>
      </c>
      <c r="F1836" s="8" t="str">
        <f>"1993-01-13"</f>
        <v>1993-01-13</v>
      </c>
      <c r="G1836" s="9"/>
    </row>
    <row r="1837" spans="1:7" ht="13.5">
      <c r="A1837" s="7">
        <v>1835</v>
      </c>
      <c r="B1837" s="8" t="str">
        <f>"234120200831165940406"</f>
        <v>234120200831165940406</v>
      </c>
      <c r="C1837" s="8" t="s">
        <v>10</v>
      </c>
      <c r="D1837" s="8" t="str">
        <f>"吕源"</f>
        <v>吕源</v>
      </c>
      <c r="E1837" s="8" t="str">
        <f>"女"</f>
        <v>女</v>
      </c>
      <c r="F1837" s="8" t="str">
        <f>"1989-01-18"</f>
        <v>1989-01-18</v>
      </c>
      <c r="G1837" s="9"/>
    </row>
    <row r="1838" spans="1:7" ht="13.5">
      <c r="A1838" s="7">
        <v>1836</v>
      </c>
      <c r="B1838" s="8" t="str">
        <f>"234120200831165956407"</f>
        <v>234120200831165956407</v>
      </c>
      <c r="C1838" s="8" t="s">
        <v>10</v>
      </c>
      <c r="D1838" s="8" t="str">
        <f>"凌溪"</f>
        <v>凌溪</v>
      </c>
      <c r="E1838" s="8" t="str">
        <f>"女"</f>
        <v>女</v>
      </c>
      <c r="F1838" s="8" t="str">
        <f>"1987-02-03"</f>
        <v>1987-02-03</v>
      </c>
      <c r="G1838" s="9"/>
    </row>
    <row r="1839" spans="1:7" ht="13.5">
      <c r="A1839" s="7">
        <v>1837</v>
      </c>
      <c r="B1839" s="8" t="str">
        <f>"234120200831170345409"</f>
        <v>234120200831170345409</v>
      </c>
      <c r="C1839" s="8" t="s">
        <v>10</v>
      </c>
      <c r="D1839" s="8" t="str">
        <f>"张淑钰"</f>
        <v>张淑钰</v>
      </c>
      <c r="E1839" s="8" t="str">
        <f>"女"</f>
        <v>女</v>
      </c>
      <c r="F1839" s="8" t="str">
        <f>"1998-02-08"</f>
        <v>1998-02-08</v>
      </c>
      <c r="G1839" s="9"/>
    </row>
    <row r="1840" spans="1:7" ht="13.5">
      <c r="A1840" s="7">
        <v>1838</v>
      </c>
      <c r="B1840" s="8" t="str">
        <f>"234120200831171627414"</f>
        <v>234120200831171627414</v>
      </c>
      <c r="C1840" s="8" t="s">
        <v>10</v>
      </c>
      <c r="D1840" s="8" t="str">
        <f>"倪丹菲"</f>
        <v>倪丹菲</v>
      </c>
      <c r="E1840" s="8" t="str">
        <f>"女"</f>
        <v>女</v>
      </c>
      <c r="F1840" s="8" t="str">
        <f>"1990-11-07"</f>
        <v>1990-11-07</v>
      </c>
      <c r="G1840" s="9"/>
    </row>
    <row r="1841" spans="1:7" ht="13.5">
      <c r="A1841" s="7">
        <v>1839</v>
      </c>
      <c r="B1841" s="8" t="str">
        <f>"234120200831172749419"</f>
        <v>234120200831172749419</v>
      </c>
      <c r="C1841" s="8" t="s">
        <v>10</v>
      </c>
      <c r="D1841" s="8" t="str">
        <f>"王彬安"</f>
        <v>王彬安</v>
      </c>
      <c r="E1841" s="8" t="str">
        <f>"男"</f>
        <v>男</v>
      </c>
      <c r="F1841" s="8" t="str">
        <f>"1996-04-10"</f>
        <v>1996-04-10</v>
      </c>
      <c r="G1841" s="9"/>
    </row>
    <row r="1842" spans="1:7" ht="13.5">
      <c r="A1842" s="7">
        <v>1840</v>
      </c>
      <c r="B1842" s="8" t="str">
        <f>"234120200831173157420"</f>
        <v>234120200831173157420</v>
      </c>
      <c r="C1842" s="8" t="s">
        <v>10</v>
      </c>
      <c r="D1842" s="8" t="str">
        <f>"邢芳"</f>
        <v>邢芳</v>
      </c>
      <c r="E1842" s="8" t="str">
        <f aca="true" t="shared" si="79" ref="E1842:E1864">"女"</f>
        <v>女</v>
      </c>
      <c r="F1842" s="8" t="str">
        <f>"1999-04-16"</f>
        <v>1999-04-16</v>
      </c>
      <c r="G1842" s="9"/>
    </row>
    <row r="1843" spans="1:7" ht="13.5">
      <c r="A1843" s="7">
        <v>1841</v>
      </c>
      <c r="B1843" s="8" t="str">
        <f>"234120200831173220421"</f>
        <v>234120200831173220421</v>
      </c>
      <c r="C1843" s="8" t="s">
        <v>10</v>
      </c>
      <c r="D1843" s="8" t="str">
        <f>"唐丽丹"</f>
        <v>唐丽丹</v>
      </c>
      <c r="E1843" s="8" t="str">
        <f t="shared" si="79"/>
        <v>女</v>
      </c>
      <c r="F1843" s="8" t="str">
        <f>"1996-04-18"</f>
        <v>1996-04-18</v>
      </c>
      <c r="G1843" s="9"/>
    </row>
    <row r="1844" spans="1:7" ht="13.5">
      <c r="A1844" s="7">
        <v>1842</v>
      </c>
      <c r="B1844" s="8" t="str">
        <f>"234120200831174132427"</f>
        <v>234120200831174132427</v>
      </c>
      <c r="C1844" s="8" t="s">
        <v>10</v>
      </c>
      <c r="D1844" s="8" t="str">
        <f>"卜开英"</f>
        <v>卜开英</v>
      </c>
      <c r="E1844" s="8" t="str">
        <f t="shared" si="79"/>
        <v>女</v>
      </c>
      <c r="F1844" s="8" t="str">
        <f>"1990-03-21"</f>
        <v>1990-03-21</v>
      </c>
      <c r="G1844" s="9"/>
    </row>
    <row r="1845" spans="1:7" ht="13.5">
      <c r="A1845" s="7">
        <v>1843</v>
      </c>
      <c r="B1845" s="8" t="str">
        <f>"234120200831175239435"</f>
        <v>234120200831175239435</v>
      </c>
      <c r="C1845" s="8" t="s">
        <v>10</v>
      </c>
      <c r="D1845" s="8" t="str">
        <f>"郭仁暖"</f>
        <v>郭仁暖</v>
      </c>
      <c r="E1845" s="8" t="str">
        <f t="shared" si="79"/>
        <v>女</v>
      </c>
      <c r="F1845" s="8" t="str">
        <f>"1996-03-10"</f>
        <v>1996-03-10</v>
      </c>
      <c r="G1845" s="9"/>
    </row>
    <row r="1846" spans="1:7" ht="13.5">
      <c r="A1846" s="7">
        <v>1844</v>
      </c>
      <c r="B1846" s="8" t="str">
        <f>"234120200831180407440"</f>
        <v>234120200831180407440</v>
      </c>
      <c r="C1846" s="8" t="s">
        <v>10</v>
      </c>
      <c r="D1846" s="8" t="str">
        <f>"潘玲"</f>
        <v>潘玲</v>
      </c>
      <c r="E1846" s="8" t="str">
        <f t="shared" si="79"/>
        <v>女</v>
      </c>
      <c r="F1846" s="8" t="str">
        <f>"1994-12-05"</f>
        <v>1994-12-05</v>
      </c>
      <c r="G1846" s="9"/>
    </row>
    <row r="1847" spans="1:7" ht="13.5">
      <c r="A1847" s="7">
        <v>1845</v>
      </c>
      <c r="B1847" s="8" t="str">
        <f>"234120200831181447446"</f>
        <v>234120200831181447446</v>
      </c>
      <c r="C1847" s="8" t="s">
        <v>10</v>
      </c>
      <c r="D1847" s="8" t="str">
        <f>"麦璇"</f>
        <v>麦璇</v>
      </c>
      <c r="E1847" s="8" t="str">
        <f t="shared" si="79"/>
        <v>女</v>
      </c>
      <c r="F1847" s="8" t="str">
        <f>"1994-07-18"</f>
        <v>1994-07-18</v>
      </c>
      <c r="G1847" s="9"/>
    </row>
    <row r="1848" spans="1:7" ht="13.5">
      <c r="A1848" s="7">
        <v>1846</v>
      </c>
      <c r="B1848" s="8" t="str">
        <f>"234120200831183129450"</f>
        <v>234120200831183129450</v>
      </c>
      <c r="C1848" s="8" t="s">
        <v>10</v>
      </c>
      <c r="D1848" s="8" t="str">
        <f>"王诗怡"</f>
        <v>王诗怡</v>
      </c>
      <c r="E1848" s="8" t="str">
        <f t="shared" si="79"/>
        <v>女</v>
      </c>
      <c r="F1848" s="8" t="str">
        <f>"1997-05-01"</f>
        <v>1997-05-01</v>
      </c>
      <c r="G1848" s="9"/>
    </row>
    <row r="1849" spans="1:7" ht="13.5">
      <c r="A1849" s="7">
        <v>1847</v>
      </c>
      <c r="B1849" s="8" t="str">
        <f>"234120200831184115458"</f>
        <v>234120200831184115458</v>
      </c>
      <c r="C1849" s="8" t="s">
        <v>10</v>
      </c>
      <c r="D1849" s="8" t="str">
        <f>"吴思怡"</f>
        <v>吴思怡</v>
      </c>
      <c r="E1849" s="8" t="str">
        <f t="shared" si="79"/>
        <v>女</v>
      </c>
      <c r="F1849" s="8" t="str">
        <f>"1997-07-23"</f>
        <v>1997-07-23</v>
      </c>
      <c r="G1849" s="9"/>
    </row>
    <row r="1850" spans="1:7" ht="13.5">
      <c r="A1850" s="7">
        <v>1848</v>
      </c>
      <c r="B1850" s="8" t="str">
        <f>"234120200831184651462"</f>
        <v>234120200831184651462</v>
      </c>
      <c r="C1850" s="8" t="s">
        <v>10</v>
      </c>
      <c r="D1850" s="8" t="str">
        <f>"田园园"</f>
        <v>田园园</v>
      </c>
      <c r="E1850" s="8" t="str">
        <f t="shared" si="79"/>
        <v>女</v>
      </c>
      <c r="F1850" s="8" t="str">
        <f>"1991-10-20"</f>
        <v>1991-10-20</v>
      </c>
      <c r="G1850" s="9"/>
    </row>
    <row r="1851" spans="1:7" ht="13.5">
      <c r="A1851" s="7">
        <v>1849</v>
      </c>
      <c r="B1851" s="8" t="str">
        <f>"234120200831185413464"</f>
        <v>234120200831185413464</v>
      </c>
      <c r="C1851" s="8" t="s">
        <v>10</v>
      </c>
      <c r="D1851" s="8" t="str">
        <f>"张晨晴"</f>
        <v>张晨晴</v>
      </c>
      <c r="E1851" s="8" t="str">
        <f t="shared" si="79"/>
        <v>女</v>
      </c>
      <c r="F1851" s="8" t="str">
        <f>"1995-04-30"</f>
        <v>1995-04-30</v>
      </c>
      <c r="G1851" s="9"/>
    </row>
    <row r="1852" spans="1:7" ht="13.5">
      <c r="A1852" s="7">
        <v>1850</v>
      </c>
      <c r="B1852" s="8" t="str">
        <f>"234120200831190915469"</f>
        <v>234120200831190915469</v>
      </c>
      <c r="C1852" s="8" t="s">
        <v>10</v>
      </c>
      <c r="D1852" s="8" t="str">
        <f>"李茹媛"</f>
        <v>李茹媛</v>
      </c>
      <c r="E1852" s="8" t="str">
        <f t="shared" si="79"/>
        <v>女</v>
      </c>
      <c r="F1852" s="8" t="str">
        <f>"1997-11-26"</f>
        <v>1997-11-26</v>
      </c>
      <c r="G1852" s="9"/>
    </row>
    <row r="1853" spans="1:7" ht="13.5">
      <c r="A1853" s="7">
        <v>1851</v>
      </c>
      <c r="B1853" s="8" t="str">
        <f>"234120200831193206476"</f>
        <v>234120200831193206476</v>
      </c>
      <c r="C1853" s="8" t="s">
        <v>10</v>
      </c>
      <c r="D1853" s="8" t="str">
        <f>"陈碧月"</f>
        <v>陈碧月</v>
      </c>
      <c r="E1853" s="8" t="str">
        <f t="shared" si="79"/>
        <v>女</v>
      </c>
      <c r="F1853" s="8" t="str">
        <f>"1996-09-29"</f>
        <v>1996-09-29</v>
      </c>
      <c r="G1853" s="9"/>
    </row>
    <row r="1854" spans="1:7" ht="13.5">
      <c r="A1854" s="7">
        <v>1852</v>
      </c>
      <c r="B1854" s="8" t="str">
        <f>"234120200831195027480"</f>
        <v>234120200831195027480</v>
      </c>
      <c r="C1854" s="8" t="s">
        <v>10</v>
      </c>
      <c r="D1854" s="8" t="str">
        <f>"邢雪喜"</f>
        <v>邢雪喜</v>
      </c>
      <c r="E1854" s="8" t="str">
        <f t="shared" si="79"/>
        <v>女</v>
      </c>
      <c r="F1854" s="8" t="str">
        <f>"1990-08-29"</f>
        <v>1990-08-29</v>
      </c>
      <c r="G1854" s="9"/>
    </row>
    <row r="1855" spans="1:7" ht="13.5">
      <c r="A1855" s="7">
        <v>1853</v>
      </c>
      <c r="B1855" s="8" t="str">
        <f>"234120200831201430490"</f>
        <v>234120200831201430490</v>
      </c>
      <c r="C1855" s="8" t="s">
        <v>10</v>
      </c>
      <c r="D1855" s="8" t="str">
        <f>"吴丽娃"</f>
        <v>吴丽娃</v>
      </c>
      <c r="E1855" s="8" t="str">
        <f t="shared" si="79"/>
        <v>女</v>
      </c>
      <c r="F1855" s="8" t="str">
        <f>"1996-02-28"</f>
        <v>1996-02-28</v>
      </c>
      <c r="G1855" s="9"/>
    </row>
    <row r="1856" spans="1:7" ht="13.5">
      <c r="A1856" s="7">
        <v>1854</v>
      </c>
      <c r="B1856" s="8" t="str">
        <f>"234120200831202447500"</f>
        <v>234120200831202447500</v>
      </c>
      <c r="C1856" s="8" t="s">
        <v>10</v>
      </c>
      <c r="D1856" s="8" t="str">
        <f>"陈小慧"</f>
        <v>陈小慧</v>
      </c>
      <c r="E1856" s="8" t="str">
        <f t="shared" si="79"/>
        <v>女</v>
      </c>
      <c r="F1856" s="8" t="str">
        <f>"1994-12-01"</f>
        <v>1994-12-01</v>
      </c>
      <c r="G1856" s="9"/>
    </row>
    <row r="1857" spans="1:7" ht="13.5">
      <c r="A1857" s="7">
        <v>1855</v>
      </c>
      <c r="B1857" s="8" t="str">
        <f>"234120200831205416518"</f>
        <v>234120200831205416518</v>
      </c>
      <c r="C1857" s="8" t="s">
        <v>10</v>
      </c>
      <c r="D1857" s="8" t="str">
        <f>"陈树萍"</f>
        <v>陈树萍</v>
      </c>
      <c r="E1857" s="8" t="str">
        <f t="shared" si="79"/>
        <v>女</v>
      </c>
      <c r="F1857" s="8" t="str">
        <f>"1993-08-22"</f>
        <v>1993-08-22</v>
      </c>
      <c r="G1857" s="9"/>
    </row>
    <row r="1858" spans="1:7" ht="13.5">
      <c r="A1858" s="7">
        <v>1856</v>
      </c>
      <c r="B1858" s="8" t="str">
        <f>"234120200831205542519"</f>
        <v>234120200831205542519</v>
      </c>
      <c r="C1858" s="8" t="s">
        <v>10</v>
      </c>
      <c r="D1858" s="8" t="str">
        <f>"肖薇薇"</f>
        <v>肖薇薇</v>
      </c>
      <c r="E1858" s="8" t="str">
        <f t="shared" si="79"/>
        <v>女</v>
      </c>
      <c r="F1858" s="8" t="str">
        <f>"1997-12-06"</f>
        <v>1997-12-06</v>
      </c>
      <c r="G1858" s="9"/>
    </row>
    <row r="1859" spans="1:7" ht="13.5">
      <c r="A1859" s="7">
        <v>1857</v>
      </c>
      <c r="B1859" s="8" t="str">
        <f>"234120200831210436521"</f>
        <v>234120200831210436521</v>
      </c>
      <c r="C1859" s="8" t="s">
        <v>10</v>
      </c>
      <c r="D1859" s="8" t="str">
        <f>"关火妹"</f>
        <v>关火妹</v>
      </c>
      <c r="E1859" s="8" t="str">
        <f t="shared" si="79"/>
        <v>女</v>
      </c>
      <c r="F1859" s="8" t="str">
        <f>"1990-10-07"</f>
        <v>1990-10-07</v>
      </c>
      <c r="G1859" s="9"/>
    </row>
    <row r="1860" spans="1:7" ht="13.5">
      <c r="A1860" s="7">
        <v>1858</v>
      </c>
      <c r="B1860" s="8" t="str">
        <f>"234120200831210554522"</f>
        <v>234120200831210554522</v>
      </c>
      <c r="C1860" s="8" t="s">
        <v>10</v>
      </c>
      <c r="D1860" s="8" t="str">
        <f>"朱莲英"</f>
        <v>朱莲英</v>
      </c>
      <c r="E1860" s="8" t="str">
        <f t="shared" si="79"/>
        <v>女</v>
      </c>
      <c r="F1860" s="8" t="str">
        <f>"1991-03-24"</f>
        <v>1991-03-24</v>
      </c>
      <c r="G1860" s="9"/>
    </row>
    <row r="1861" spans="1:7" ht="13.5">
      <c r="A1861" s="7">
        <v>1859</v>
      </c>
      <c r="B1861" s="8" t="str">
        <f>"234120200831212702525"</f>
        <v>234120200831212702525</v>
      </c>
      <c r="C1861" s="8" t="s">
        <v>10</v>
      </c>
      <c r="D1861" s="8" t="str">
        <f>"张舒"</f>
        <v>张舒</v>
      </c>
      <c r="E1861" s="8" t="str">
        <f t="shared" si="79"/>
        <v>女</v>
      </c>
      <c r="F1861" s="8" t="str">
        <f>"1993-12-03"</f>
        <v>1993-12-03</v>
      </c>
      <c r="G1861" s="9"/>
    </row>
    <row r="1862" spans="1:7" ht="13.5">
      <c r="A1862" s="7">
        <v>1860</v>
      </c>
      <c r="B1862" s="8" t="str">
        <f>"234120200831214949538"</f>
        <v>234120200831214949538</v>
      </c>
      <c r="C1862" s="8" t="s">
        <v>10</v>
      </c>
      <c r="D1862" s="8" t="str">
        <f>"谢楼"</f>
        <v>谢楼</v>
      </c>
      <c r="E1862" s="8" t="str">
        <f t="shared" si="79"/>
        <v>女</v>
      </c>
      <c r="F1862" s="8" t="str">
        <f>"1991-09-22"</f>
        <v>1991-09-22</v>
      </c>
      <c r="G1862" s="9"/>
    </row>
    <row r="1863" spans="1:7" ht="13.5">
      <c r="A1863" s="7">
        <v>1861</v>
      </c>
      <c r="B1863" s="8" t="str">
        <f>"234120200831221209546"</f>
        <v>234120200831221209546</v>
      </c>
      <c r="C1863" s="8" t="s">
        <v>10</v>
      </c>
      <c r="D1863" s="8" t="str">
        <f>"杨莹"</f>
        <v>杨莹</v>
      </c>
      <c r="E1863" s="8" t="str">
        <f t="shared" si="79"/>
        <v>女</v>
      </c>
      <c r="F1863" s="8" t="str">
        <f>"1988-01-18"</f>
        <v>1988-01-18</v>
      </c>
      <c r="G1863" s="9"/>
    </row>
    <row r="1864" spans="1:7" ht="13.5">
      <c r="A1864" s="7">
        <v>1862</v>
      </c>
      <c r="B1864" s="8" t="str">
        <f>"234120200831223013552"</f>
        <v>234120200831223013552</v>
      </c>
      <c r="C1864" s="8" t="s">
        <v>10</v>
      </c>
      <c r="D1864" s="8" t="str">
        <f>"姚虹妃"</f>
        <v>姚虹妃</v>
      </c>
      <c r="E1864" s="8" t="str">
        <f t="shared" si="79"/>
        <v>女</v>
      </c>
      <c r="F1864" s="8" t="str">
        <f>"1994-11-15"</f>
        <v>1994-11-15</v>
      </c>
      <c r="G1864" s="9"/>
    </row>
    <row r="1865" spans="1:7" ht="13.5">
      <c r="A1865" s="7">
        <v>1863</v>
      </c>
      <c r="B1865" s="8" t="str">
        <f>"234120200831225927561"</f>
        <v>234120200831225927561</v>
      </c>
      <c r="C1865" s="8" t="s">
        <v>10</v>
      </c>
      <c r="D1865" s="8" t="str">
        <f>"邢梦孚"</f>
        <v>邢梦孚</v>
      </c>
      <c r="E1865" s="8" t="str">
        <f>"男"</f>
        <v>男</v>
      </c>
      <c r="F1865" s="8" t="str">
        <f>"1995-02-04"</f>
        <v>1995-02-04</v>
      </c>
      <c r="G1865" s="9"/>
    </row>
    <row r="1866" spans="1:7" ht="13.5">
      <c r="A1866" s="7">
        <v>1864</v>
      </c>
      <c r="B1866" s="8" t="str">
        <f>"234120200831231350566"</f>
        <v>234120200831231350566</v>
      </c>
      <c r="C1866" s="8" t="s">
        <v>10</v>
      </c>
      <c r="D1866" s="8" t="str">
        <f>"吴光美"</f>
        <v>吴光美</v>
      </c>
      <c r="E1866" s="8" t="str">
        <f aca="true" t="shared" si="80" ref="E1866:E1887">"女"</f>
        <v>女</v>
      </c>
      <c r="F1866" s="8" t="str">
        <f>"1987-05-01"</f>
        <v>1987-05-01</v>
      </c>
      <c r="G1866" s="9"/>
    </row>
    <row r="1867" spans="1:7" ht="13.5">
      <c r="A1867" s="7">
        <v>1865</v>
      </c>
      <c r="B1867" s="8" t="str">
        <f>"234120200831231358567"</f>
        <v>234120200831231358567</v>
      </c>
      <c r="C1867" s="8" t="s">
        <v>10</v>
      </c>
      <c r="D1867" s="8" t="str">
        <f>"李若楠"</f>
        <v>李若楠</v>
      </c>
      <c r="E1867" s="8" t="str">
        <f t="shared" si="80"/>
        <v>女</v>
      </c>
      <c r="F1867" s="8" t="str">
        <f>"1997-04-30"</f>
        <v>1997-04-30</v>
      </c>
      <c r="G1867" s="9"/>
    </row>
    <row r="1868" spans="1:7" ht="13.5">
      <c r="A1868" s="7">
        <v>1866</v>
      </c>
      <c r="B1868" s="8" t="str">
        <f>"234120200831232652570"</f>
        <v>234120200831232652570</v>
      </c>
      <c r="C1868" s="8" t="s">
        <v>10</v>
      </c>
      <c r="D1868" s="8" t="str">
        <f>"丁文颖"</f>
        <v>丁文颖</v>
      </c>
      <c r="E1868" s="8" t="str">
        <f t="shared" si="80"/>
        <v>女</v>
      </c>
      <c r="F1868" s="8" t="str">
        <f>"1998-02-20"</f>
        <v>1998-02-20</v>
      </c>
      <c r="G1868" s="9"/>
    </row>
    <row r="1869" spans="1:7" ht="13.5">
      <c r="A1869" s="7">
        <v>1867</v>
      </c>
      <c r="B1869" s="8" t="str">
        <f>"234120200831233533574"</f>
        <v>234120200831233533574</v>
      </c>
      <c r="C1869" s="8" t="s">
        <v>10</v>
      </c>
      <c r="D1869" s="8" t="str">
        <f>"杨清晏"</f>
        <v>杨清晏</v>
      </c>
      <c r="E1869" s="8" t="str">
        <f t="shared" si="80"/>
        <v>女</v>
      </c>
      <c r="F1869" s="8" t="str">
        <f>"1989-07-25"</f>
        <v>1989-07-25</v>
      </c>
      <c r="G1869" s="9"/>
    </row>
    <row r="1870" spans="1:7" ht="13.5">
      <c r="A1870" s="7">
        <v>1868</v>
      </c>
      <c r="B1870" s="8" t="str">
        <f>"234120200831233614575"</f>
        <v>234120200831233614575</v>
      </c>
      <c r="C1870" s="8" t="s">
        <v>10</v>
      </c>
      <c r="D1870" s="8" t="str">
        <f>"贺志华"</f>
        <v>贺志华</v>
      </c>
      <c r="E1870" s="8" t="str">
        <f t="shared" si="80"/>
        <v>女</v>
      </c>
      <c r="F1870" s="8" t="str">
        <f>"1989-07-19"</f>
        <v>1989-07-19</v>
      </c>
      <c r="G1870" s="9"/>
    </row>
    <row r="1871" spans="1:7" ht="13.5">
      <c r="A1871" s="7">
        <v>1869</v>
      </c>
      <c r="B1871" s="8" t="str">
        <f>"234120200901000531577"</f>
        <v>234120200901000531577</v>
      </c>
      <c r="C1871" s="8" t="s">
        <v>10</v>
      </c>
      <c r="D1871" s="8" t="str">
        <f>"董晓红"</f>
        <v>董晓红</v>
      </c>
      <c r="E1871" s="8" t="str">
        <f t="shared" si="80"/>
        <v>女</v>
      </c>
      <c r="F1871" s="8" t="str">
        <f>"1986-07-25"</f>
        <v>1986-07-25</v>
      </c>
      <c r="G1871" s="9"/>
    </row>
    <row r="1872" spans="1:7" ht="13.5">
      <c r="A1872" s="7">
        <v>1870</v>
      </c>
      <c r="B1872" s="8" t="str">
        <f>"234120200901001324578"</f>
        <v>234120200901001324578</v>
      </c>
      <c r="C1872" s="8" t="s">
        <v>10</v>
      </c>
      <c r="D1872" s="8" t="str">
        <f>"陈章琳"</f>
        <v>陈章琳</v>
      </c>
      <c r="E1872" s="8" t="str">
        <f t="shared" si="80"/>
        <v>女</v>
      </c>
      <c r="F1872" s="8" t="str">
        <f>"1991-05-29"</f>
        <v>1991-05-29</v>
      </c>
      <c r="G1872" s="9"/>
    </row>
    <row r="1873" spans="1:7" ht="13.5">
      <c r="A1873" s="7">
        <v>1871</v>
      </c>
      <c r="B1873" s="8" t="str">
        <f>"234120200901003231580"</f>
        <v>234120200901003231580</v>
      </c>
      <c r="C1873" s="8" t="s">
        <v>10</v>
      </c>
      <c r="D1873" s="8" t="str">
        <f>"黎健妃"</f>
        <v>黎健妃</v>
      </c>
      <c r="E1873" s="8" t="str">
        <f t="shared" si="80"/>
        <v>女</v>
      </c>
      <c r="F1873" s="8" t="str">
        <f>"1995-06-16"</f>
        <v>1995-06-16</v>
      </c>
      <c r="G1873" s="9"/>
    </row>
    <row r="1874" spans="1:7" ht="13.5">
      <c r="A1874" s="7">
        <v>1872</v>
      </c>
      <c r="B1874" s="8" t="str">
        <f>"234120200901085150595"</f>
        <v>234120200901085150595</v>
      </c>
      <c r="C1874" s="8" t="s">
        <v>10</v>
      </c>
      <c r="D1874" s="8" t="str">
        <f>"聂晓杰"</f>
        <v>聂晓杰</v>
      </c>
      <c r="E1874" s="8" t="str">
        <f t="shared" si="80"/>
        <v>女</v>
      </c>
      <c r="F1874" s="8" t="str">
        <f>"1989-08-07"</f>
        <v>1989-08-07</v>
      </c>
      <c r="G1874" s="9"/>
    </row>
    <row r="1875" spans="1:7" ht="13.5">
      <c r="A1875" s="7">
        <v>1873</v>
      </c>
      <c r="B1875" s="8" t="str">
        <f>"234120200901085556596"</f>
        <v>234120200901085556596</v>
      </c>
      <c r="C1875" s="8" t="s">
        <v>10</v>
      </c>
      <c r="D1875" s="8" t="str">
        <f>"龙子凤"</f>
        <v>龙子凤</v>
      </c>
      <c r="E1875" s="8" t="str">
        <f t="shared" si="80"/>
        <v>女</v>
      </c>
      <c r="F1875" s="8" t="str">
        <f>"1998-04-09"</f>
        <v>1998-04-09</v>
      </c>
      <c r="G1875" s="9"/>
    </row>
    <row r="1876" spans="1:7" ht="13.5">
      <c r="A1876" s="7">
        <v>1874</v>
      </c>
      <c r="B1876" s="8" t="str">
        <f>"234120200901094034610"</f>
        <v>234120200901094034610</v>
      </c>
      <c r="C1876" s="8" t="s">
        <v>10</v>
      </c>
      <c r="D1876" s="8" t="str">
        <f>"吴多珍"</f>
        <v>吴多珍</v>
      </c>
      <c r="E1876" s="8" t="str">
        <f t="shared" si="80"/>
        <v>女</v>
      </c>
      <c r="F1876" s="8" t="str">
        <f>"1991-05-18"</f>
        <v>1991-05-18</v>
      </c>
      <c r="G1876" s="9"/>
    </row>
    <row r="1877" spans="1:7" ht="13.5">
      <c r="A1877" s="7">
        <v>1875</v>
      </c>
      <c r="B1877" s="8" t="str">
        <f>"234120200901100253626"</f>
        <v>234120200901100253626</v>
      </c>
      <c r="C1877" s="8" t="s">
        <v>10</v>
      </c>
      <c r="D1877" s="8" t="str">
        <f>"何美霞"</f>
        <v>何美霞</v>
      </c>
      <c r="E1877" s="8" t="str">
        <f t="shared" si="80"/>
        <v>女</v>
      </c>
      <c r="F1877" s="8" t="str">
        <f>"1996-10-09"</f>
        <v>1996-10-09</v>
      </c>
      <c r="G1877" s="9"/>
    </row>
    <row r="1878" spans="1:7" ht="13.5">
      <c r="A1878" s="7">
        <v>1876</v>
      </c>
      <c r="B1878" s="8" t="str">
        <f>"234120200901100805634"</f>
        <v>234120200901100805634</v>
      </c>
      <c r="C1878" s="8" t="s">
        <v>10</v>
      </c>
      <c r="D1878" s="8" t="str">
        <f>"王蔚"</f>
        <v>王蔚</v>
      </c>
      <c r="E1878" s="8" t="str">
        <f t="shared" si="80"/>
        <v>女</v>
      </c>
      <c r="F1878" s="8" t="str">
        <f>"1997-01-01"</f>
        <v>1997-01-01</v>
      </c>
      <c r="G1878" s="9"/>
    </row>
    <row r="1879" spans="1:7" ht="13.5">
      <c r="A1879" s="7">
        <v>1877</v>
      </c>
      <c r="B1879" s="8" t="str">
        <f>"234120200901102101640"</f>
        <v>234120200901102101640</v>
      </c>
      <c r="C1879" s="8" t="s">
        <v>10</v>
      </c>
      <c r="D1879" s="8" t="str">
        <f>"黄妮旅"</f>
        <v>黄妮旅</v>
      </c>
      <c r="E1879" s="8" t="str">
        <f t="shared" si="80"/>
        <v>女</v>
      </c>
      <c r="F1879" s="8" t="str">
        <f>"1997-08-01"</f>
        <v>1997-08-01</v>
      </c>
      <c r="G1879" s="9"/>
    </row>
    <row r="1880" spans="1:7" ht="13.5">
      <c r="A1880" s="7">
        <v>1878</v>
      </c>
      <c r="B1880" s="8" t="str">
        <f>"234120200901102318643"</f>
        <v>234120200901102318643</v>
      </c>
      <c r="C1880" s="8" t="s">
        <v>10</v>
      </c>
      <c r="D1880" s="8" t="str">
        <f>"何锦凤"</f>
        <v>何锦凤</v>
      </c>
      <c r="E1880" s="8" t="str">
        <f t="shared" si="80"/>
        <v>女</v>
      </c>
      <c r="F1880" s="8" t="str">
        <f>"1995-10-18"</f>
        <v>1995-10-18</v>
      </c>
      <c r="G1880" s="9"/>
    </row>
    <row r="1881" spans="1:7" ht="13.5">
      <c r="A1881" s="7">
        <v>1879</v>
      </c>
      <c r="B1881" s="8" t="str">
        <f>"234120200901102651649"</f>
        <v>234120200901102651649</v>
      </c>
      <c r="C1881" s="8" t="s">
        <v>10</v>
      </c>
      <c r="D1881" s="8" t="str">
        <f>"周芳"</f>
        <v>周芳</v>
      </c>
      <c r="E1881" s="8" t="str">
        <f t="shared" si="80"/>
        <v>女</v>
      </c>
      <c r="F1881" s="8" t="str">
        <f>"1994-12-13"</f>
        <v>1994-12-13</v>
      </c>
      <c r="G1881" s="9"/>
    </row>
    <row r="1882" spans="1:7" ht="13.5">
      <c r="A1882" s="7">
        <v>1880</v>
      </c>
      <c r="B1882" s="8" t="str">
        <f>"234120200901103726658"</f>
        <v>234120200901103726658</v>
      </c>
      <c r="C1882" s="8" t="s">
        <v>10</v>
      </c>
      <c r="D1882" s="8" t="str">
        <f>"蔡兴南"</f>
        <v>蔡兴南</v>
      </c>
      <c r="E1882" s="8" t="str">
        <f t="shared" si="80"/>
        <v>女</v>
      </c>
      <c r="F1882" s="8" t="str">
        <f>"1986-08-16"</f>
        <v>1986-08-16</v>
      </c>
      <c r="G1882" s="9"/>
    </row>
    <row r="1883" spans="1:7" ht="13.5">
      <c r="A1883" s="7">
        <v>1881</v>
      </c>
      <c r="B1883" s="8" t="str">
        <f>"234120200901104021659"</f>
        <v>234120200901104021659</v>
      </c>
      <c r="C1883" s="8" t="s">
        <v>10</v>
      </c>
      <c r="D1883" s="8" t="str">
        <f>"金瑶"</f>
        <v>金瑶</v>
      </c>
      <c r="E1883" s="8" t="str">
        <f t="shared" si="80"/>
        <v>女</v>
      </c>
      <c r="F1883" s="8" t="str">
        <f>"1998-03-19"</f>
        <v>1998-03-19</v>
      </c>
      <c r="G1883" s="9"/>
    </row>
    <row r="1884" spans="1:7" ht="13.5">
      <c r="A1884" s="7">
        <v>1882</v>
      </c>
      <c r="B1884" s="8" t="str">
        <f>"234120200901104850662"</f>
        <v>234120200901104850662</v>
      </c>
      <c r="C1884" s="8" t="s">
        <v>10</v>
      </c>
      <c r="D1884" s="8" t="str">
        <f>"吴清周"</f>
        <v>吴清周</v>
      </c>
      <c r="E1884" s="8" t="str">
        <f t="shared" si="80"/>
        <v>女</v>
      </c>
      <c r="F1884" s="8" t="str">
        <f>"1997-05-01"</f>
        <v>1997-05-01</v>
      </c>
      <c r="G1884" s="9"/>
    </row>
    <row r="1885" spans="1:7" ht="13.5">
      <c r="A1885" s="7">
        <v>1883</v>
      </c>
      <c r="B1885" s="8" t="str">
        <f>"234120200901105046665"</f>
        <v>234120200901105046665</v>
      </c>
      <c r="C1885" s="8" t="s">
        <v>10</v>
      </c>
      <c r="D1885" s="8" t="str">
        <f>"冯志冲"</f>
        <v>冯志冲</v>
      </c>
      <c r="E1885" s="8" t="str">
        <f t="shared" si="80"/>
        <v>女</v>
      </c>
      <c r="F1885" s="8" t="str">
        <f>"1990-02-05"</f>
        <v>1990-02-05</v>
      </c>
      <c r="G1885" s="9"/>
    </row>
    <row r="1886" spans="1:7" ht="13.5">
      <c r="A1886" s="7">
        <v>1884</v>
      </c>
      <c r="B1886" s="8" t="str">
        <f>"234120200901105433667"</f>
        <v>234120200901105433667</v>
      </c>
      <c r="C1886" s="8" t="s">
        <v>10</v>
      </c>
      <c r="D1886" s="8" t="str">
        <f>"李倩"</f>
        <v>李倩</v>
      </c>
      <c r="E1886" s="8" t="str">
        <f t="shared" si="80"/>
        <v>女</v>
      </c>
      <c r="F1886" s="8" t="str">
        <f>"1987-06-02"</f>
        <v>1987-06-02</v>
      </c>
      <c r="G1886" s="9"/>
    </row>
    <row r="1887" spans="1:7" ht="13.5">
      <c r="A1887" s="7">
        <v>1885</v>
      </c>
      <c r="B1887" s="8" t="str">
        <f>"234120200901110911676"</f>
        <v>234120200901110911676</v>
      </c>
      <c r="C1887" s="8" t="s">
        <v>10</v>
      </c>
      <c r="D1887" s="8" t="str">
        <f>"孟园园"</f>
        <v>孟园园</v>
      </c>
      <c r="E1887" s="8" t="str">
        <f t="shared" si="80"/>
        <v>女</v>
      </c>
      <c r="F1887" s="8" t="str">
        <f>"1989-07-07"</f>
        <v>1989-07-07</v>
      </c>
      <c r="G1887" s="9"/>
    </row>
    <row r="1888" spans="1:7" ht="13.5">
      <c r="A1888" s="7">
        <v>1886</v>
      </c>
      <c r="B1888" s="8" t="str">
        <f>"234120200901111438680"</f>
        <v>234120200901111438680</v>
      </c>
      <c r="C1888" s="8" t="s">
        <v>10</v>
      </c>
      <c r="D1888" s="8" t="str">
        <f>"颜增业"</f>
        <v>颜增业</v>
      </c>
      <c r="E1888" s="8" t="str">
        <f>"男"</f>
        <v>男</v>
      </c>
      <c r="F1888" s="8" t="str">
        <f>"1989-05-22"</f>
        <v>1989-05-22</v>
      </c>
      <c r="G1888" s="9"/>
    </row>
    <row r="1889" spans="1:7" ht="13.5">
      <c r="A1889" s="7">
        <v>1887</v>
      </c>
      <c r="B1889" s="8" t="str">
        <f>"234120200901111532681"</f>
        <v>234120200901111532681</v>
      </c>
      <c r="C1889" s="8" t="s">
        <v>10</v>
      </c>
      <c r="D1889" s="8" t="str">
        <f>"王卓"</f>
        <v>王卓</v>
      </c>
      <c r="E1889" s="8" t="str">
        <f aca="true" t="shared" si="81" ref="E1889:E1920">"女"</f>
        <v>女</v>
      </c>
      <c r="F1889" s="8" t="str">
        <f>"1995-07-15"</f>
        <v>1995-07-15</v>
      </c>
      <c r="G1889" s="9"/>
    </row>
    <row r="1890" spans="1:7" ht="13.5">
      <c r="A1890" s="7">
        <v>1888</v>
      </c>
      <c r="B1890" s="8" t="str">
        <f>"234120200901112733688"</f>
        <v>234120200901112733688</v>
      </c>
      <c r="C1890" s="8" t="s">
        <v>10</v>
      </c>
      <c r="D1890" s="8" t="str">
        <f>"吴健婵"</f>
        <v>吴健婵</v>
      </c>
      <c r="E1890" s="8" t="str">
        <f t="shared" si="81"/>
        <v>女</v>
      </c>
      <c r="F1890" s="8" t="str">
        <f>"1995-06-01"</f>
        <v>1995-06-01</v>
      </c>
      <c r="G1890" s="9"/>
    </row>
    <row r="1891" spans="1:7" ht="13.5">
      <c r="A1891" s="7">
        <v>1889</v>
      </c>
      <c r="B1891" s="8" t="str">
        <f>"234120200901112839690"</f>
        <v>234120200901112839690</v>
      </c>
      <c r="C1891" s="8" t="s">
        <v>10</v>
      </c>
      <c r="D1891" s="8" t="str">
        <f>"罗夏慧"</f>
        <v>罗夏慧</v>
      </c>
      <c r="E1891" s="8" t="str">
        <f t="shared" si="81"/>
        <v>女</v>
      </c>
      <c r="F1891" s="8" t="str">
        <f>"1993-07-14"</f>
        <v>1993-07-14</v>
      </c>
      <c r="G1891" s="9"/>
    </row>
    <row r="1892" spans="1:7" ht="13.5">
      <c r="A1892" s="7">
        <v>1890</v>
      </c>
      <c r="B1892" s="8" t="str">
        <f>"234120200901112951691"</f>
        <v>234120200901112951691</v>
      </c>
      <c r="C1892" s="8" t="s">
        <v>10</v>
      </c>
      <c r="D1892" s="8" t="str">
        <f>"李宁"</f>
        <v>李宁</v>
      </c>
      <c r="E1892" s="8" t="str">
        <f t="shared" si="81"/>
        <v>女</v>
      </c>
      <c r="F1892" s="8" t="str">
        <f>"1993-09-12"</f>
        <v>1993-09-12</v>
      </c>
      <c r="G1892" s="9"/>
    </row>
    <row r="1893" spans="1:7" ht="13.5">
      <c r="A1893" s="7">
        <v>1891</v>
      </c>
      <c r="B1893" s="8" t="str">
        <f>"234120200901113826695"</f>
        <v>234120200901113826695</v>
      </c>
      <c r="C1893" s="8" t="s">
        <v>10</v>
      </c>
      <c r="D1893" s="8" t="str">
        <f>"何安"</f>
        <v>何安</v>
      </c>
      <c r="E1893" s="8" t="str">
        <f t="shared" si="81"/>
        <v>女</v>
      </c>
      <c r="F1893" s="8" t="str">
        <f>"1986-01-30"</f>
        <v>1986-01-30</v>
      </c>
      <c r="G1893" s="9"/>
    </row>
    <row r="1894" spans="1:7" ht="13.5">
      <c r="A1894" s="7">
        <v>1892</v>
      </c>
      <c r="B1894" s="8" t="str">
        <f>"234120200901121517707"</f>
        <v>234120200901121517707</v>
      </c>
      <c r="C1894" s="8" t="s">
        <v>10</v>
      </c>
      <c r="D1894" s="8" t="str">
        <f>"姜姗姗"</f>
        <v>姜姗姗</v>
      </c>
      <c r="E1894" s="8" t="str">
        <f t="shared" si="81"/>
        <v>女</v>
      </c>
      <c r="F1894" s="8" t="str">
        <f>"1996-03-07"</f>
        <v>1996-03-07</v>
      </c>
      <c r="G1894" s="9"/>
    </row>
    <row r="1895" spans="1:7" ht="13.5">
      <c r="A1895" s="7">
        <v>1893</v>
      </c>
      <c r="B1895" s="8" t="str">
        <f>"234120200901123643719"</f>
        <v>234120200901123643719</v>
      </c>
      <c r="C1895" s="8" t="s">
        <v>10</v>
      </c>
      <c r="D1895" s="8" t="str">
        <f>"顾云飞 "</f>
        <v>顾云飞 </v>
      </c>
      <c r="E1895" s="8" t="str">
        <f t="shared" si="81"/>
        <v>女</v>
      </c>
      <c r="F1895" s="8" t="str">
        <f>"1998-07-20"</f>
        <v>1998-07-20</v>
      </c>
      <c r="G1895" s="9"/>
    </row>
    <row r="1896" spans="1:7" ht="13.5">
      <c r="A1896" s="7">
        <v>1894</v>
      </c>
      <c r="B1896" s="8" t="str">
        <f>"234120200901125705725"</f>
        <v>234120200901125705725</v>
      </c>
      <c r="C1896" s="8" t="s">
        <v>10</v>
      </c>
      <c r="D1896" s="8" t="str">
        <f>"陈攀宇"</f>
        <v>陈攀宇</v>
      </c>
      <c r="E1896" s="8" t="str">
        <f t="shared" si="81"/>
        <v>女</v>
      </c>
      <c r="F1896" s="8" t="str">
        <f>"1996-01-30"</f>
        <v>1996-01-30</v>
      </c>
      <c r="G1896" s="9"/>
    </row>
    <row r="1897" spans="1:7" ht="13.5">
      <c r="A1897" s="7">
        <v>1895</v>
      </c>
      <c r="B1897" s="8" t="str">
        <f>"234120200901130641729"</f>
        <v>234120200901130641729</v>
      </c>
      <c r="C1897" s="8" t="s">
        <v>10</v>
      </c>
      <c r="D1897" s="8" t="str">
        <f>"蔡金桂"</f>
        <v>蔡金桂</v>
      </c>
      <c r="E1897" s="8" t="str">
        <f t="shared" si="81"/>
        <v>女</v>
      </c>
      <c r="F1897" s="8" t="str">
        <f>"1999-09-20"</f>
        <v>1999-09-20</v>
      </c>
      <c r="G1897" s="9"/>
    </row>
    <row r="1898" spans="1:7" ht="13.5">
      <c r="A1898" s="7">
        <v>1896</v>
      </c>
      <c r="B1898" s="8" t="str">
        <f>"234120200901132148731"</f>
        <v>234120200901132148731</v>
      </c>
      <c r="C1898" s="8" t="s">
        <v>10</v>
      </c>
      <c r="D1898" s="8" t="str">
        <f>"蔡海平"</f>
        <v>蔡海平</v>
      </c>
      <c r="E1898" s="8" t="str">
        <f t="shared" si="81"/>
        <v>女</v>
      </c>
      <c r="F1898" s="8" t="str">
        <f>"1987-07-25"</f>
        <v>1987-07-25</v>
      </c>
      <c r="G1898" s="9"/>
    </row>
    <row r="1899" spans="1:7" ht="13.5">
      <c r="A1899" s="7">
        <v>1897</v>
      </c>
      <c r="B1899" s="8" t="str">
        <f>"234120200901135040736"</f>
        <v>234120200901135040736</v>
      </c>
      <c r="C1899" s="8" t="s">
        <v>10</v>
      </c>
      <c r="D1899" s="8" t="str">
        <f>"李娜"</f>
        <v>李娜</v>
      </c>
      <c r="E1899" s="8" t="str">
        <f t="shared" si="81"/>
        <v>女</v>
      </c>
      <c r="F1899" s="8" t="str">
        <f>"1995-07-21"</f>
        <v>1995-07-21</v>
      </c>
      <c r="G1899" s="9"/>
    </row>
    <row r="1900" spans="1:7" ht="13.5">
      <c r="A1900" s="7">
        <v>1898</v>
      </c>
      <c r="B1900" s="8" t="str">
        <f>"234120200901135600740"</f>
        <v>234120200901135600740</v>
      </c>
      <c r="C1900" s="8" t="s">
        <v>10</v>
      </c>
      <c r="D1900" s="8" t="str">
        <f>"李慧颖"</f>
        <v>李慧颖</v>
      </c>
      <c r="E1900" s="8" t="str">
        <f t="shared" si="81"/>
        <v>女</v>
      </c>
      <c r="F1900" s="8" t="str">
        <f>"1994-12-12"</f>
        <v>1994-12-12</v>
      </c>
      <c r="G1900" s="9"/>
    </row>
    <row r="1901" spans="1:7" ht="13.5">
      <c r="A1901" s="7">
        <v>1899</v>
      </c>
      <c r="B1901" s="8" t="str">
        <f>"234120200901142812747"</f>
        <v>234120200901142812747</v>
      </c>
      <c r="C1901" s="8" t="s">
        <v>10</v>
      </c>
      <c r="D1901" s="8" t="str">
        <f>"刘珊"</f>
        <v>刘珊</v>
      </c>
      <c r="E1901" s="8" t="str">
        <f t="shared" si="81"/>
        <v>女</v>
      </c>
      <c r="F1901" s="8" t="str">
        <f>"1996-10-07"</f>
        <v>1996-10-07</v>
      </c>
      <c r="G1901" s="9"/>
    </row>
    <row r="1902" spans="1:7" ht="13.5">
      <c r="A1902" s="7">
        <v>1900</v>
      </c>
      <c r="B1902" s="8" t="str">
        <f>"234120200901143304751"</f>
        <v>234120200901143304751</v>
      </c>
      <c r="C1902" s="8" t="s">
        <v>10</v>
      </c>
      <c r="D1902" s="8" t="str">
        <f>"王玉滢"</f>
        <v>王玉滢</v>
      </c>
      <c r="E1902" s="8" t="str">
        <f t="shared" si="81"/>
        <v>女</v>
      </c>
      <c r="F1902" s="8" t="str">
        <f>"1997-01-23"</f>
        <v>1997-01-23</v>
      </c>
      <c r="G1902" s="9"/>
    </row>
    <row r="1903" spans="1:7" ht="13.5">
      <c r="A1903" s="7">
        <v>1901</v>
      </c>
      <c r="B1903" s="8" t="str">
        <f>"234120200901144132755"</f>
        <v>234120200901144132755</v>
      </c>
      <c r="C1903" s="8" t="s">
        <v>10</v>
      </c>
      <c r="D1903" s="8" t="str">
        <f>"周慧"</f>
        <v>周慧</v>
      </c>
      <c r="E1903" s="8" t="str">
        <f t="shared" si="81"/>
        <v>女</v>
      </c>
      <c r="F1903" s="8" t="str">
        <f>"1998-02-22"</f>
        <v>1998-02-22</v>
      </c>
      <c r="G1903" s="9"/>
    </row>
    <row r="1904" spans="1:7" ht="13.5">
      <c r="A1904" s="7">
        <v>1902</v>
      </c>
      <c r="B1904" s="8" t="str">
        <f>"234120200901160138784"</f>
        <v>234120200901160138784</v>
      </c>
      <c r="C1904" s="8" t="s">
        <v>10</v>
      </c>
      <c r="D1904" s="8" t="str">
        <f>"林升妃"</f>
        <v>林升妃</v>
      </c>
      <c r="E1904" s="8" t="str">
        <f t="shared" si="81"/>
        <v>女</v>
      </c>
      <c r="F1904" s="8" t="str">
        <f>"1994-05-14"</f>
        <v>1994-05-14</v>
      </c>
      <c r="G1904" s="9"/>
    </row>
    <row r="1905" spans="1:7" ht="13.5">
      <c r="A1905" s="7">
        <v>1903</v>
      </c>
      <c r="B1905" s="8" t="str">
        <f>"234120200901161119788"</f>
        <v>234120200901161119788</v>
      </c>
      <c r="C1905" s="8" t="s">
        <v>10</v>
      </c>
      <c r="D1905" s="8" t="str">
        <f>"黄丽鸣"</f>
        <v>黄丽鸣</v>
      </c>
      <c r="E1905" s="8" t="str">
        <f t="shared" si="81"/>
        <v>女</v>
      </c>
      <c r="F1905" s="8" t="str">
        <f>"1993-08-05"</f>
        <v>1993-08-05</v>
      </c>
      <c r="G1905" s="9"/>
    </row>
    <row r="1906" spans="1:7" ht="13.5">
      <c r="A1906" s="7">
        <v>1904</v>
      </c>
      <c r="B1906" s="8" t="str">
        <f>"234120200901161632790"</f>
        <v>234120200901161632790</v>
      </c>
      <c r="C1906" s="8" t="s">
        <v>10</v>
      </c>
      <c r="D1906" s="8" t="str">
        <f>"李静"</f>
        <v>李静</v>
      </c>
      <c r="E1906" s="8" t="str">
        <f t="shared" si="81"/>
        <v>女</v>
      </c>
      <c r="F1906" s="8" t="str">
        <f>"1995-10-17"</f>
        <v>1995-10-17</v>
      </c>
      <c r="G1906" s="9"/>
    </row>
    <row r="1907" spans="1:7" ht="13.5">
      <c r="A1907" s="7">
        <v>1905</v>
      </c>
      <c r="B1907" s="8" t="str">
        <f>"234120200901162319794"</f>
        <v>234120200901162319794</v>
      </c>
      <c r="C1907" s="8" t="s">
        <v>10</v>
      </c>
      <c r="D1907" s="8" t="str">
        <f>"吉才丽"</f>
        <v>吉才丽</v>
      </c>
      <c r="E1907" s="8" t="str">
        <f t="shared" si="81"/>
        <v>女</v>
      </c>
      <c r="F1907" s="8" t="str">
        <f>"1994-07-26"</f>
        <v>1994-07-26</v>
      </c>
      <c r="G1907" s="9"/>
    </row>
    <row r="1908" spans="1:7" ht="13.5">
      <c r="A1908" s="7">
        <v>1906</v>
      </c>
      <c r="B1908" s="8" t="str">
        <f>"234120200901162530797"</f>
        <v>234120200901162530797</v>
      </c>
      <c r="C1908" s="8" t="s">
        <v>10</v>
      </c>
      <c r="D1908" s="8" t="str">
        <f>"廖苏"</f>
        <v>廖苏</v>
      </c>
      <c r="E1908" s="8" t="str">
        <f t="shared" si="81"/>
        <v>女</v>
      </c>
      <c r="F1908" s="8" t="str">
        <f>"1995-12-12"</f>
        <v>1995-12-12</v>
      </c>
      <c r="G1908" s="9"/>
    </row>
    <row r="1909" spans="1:7" ht="13.5">
      <c r="A1909" s="7">
        <v>1907</v>
      </c>
      <c r="B1909" s="8" t="str">
        <f>"234120200901162845800"</f>
        <v>234120200901162845800</v>
      </c>
      <c r="C1909" s="8" t="s">
        <v>10</v>
      </c>
      <c r="D1909" s="8" t="str">
        <f>"符以娜"</f>
        <v>符以娜</v>
      </c>
      <c r="E1909" s="8" t="str">
        <f t="shared" si="81"/>
        <v>女</v>
      </c>
      <c r="F1909" s="8" t="str">
        <f>"1996-09-27"</f>
        <v>1996-09-27</v>
      </c>
      <c r="G1909" s="9"/>
    </row>
    <row r="1910" spans="1:7" ht="13.5">
      <c r="A1910" s="7">
        <v>1908</v>
      </c>
      <c r="B1910" s="8" t="str">
        <f>"234120200901165427808"</f>
        <v>234120200901165427808</v>
      </c>
      <c r="C1910" s="8" t="s">
        <v>10</v>
      </c>
      <c r="D1910" s="8" t="str">
        <f>"符芳虹"</f>
        <v>符芳虹</v>
      </c>
      <c r="E1910" s="8" t="str">
        <f t="shared" si="81"/>
        <v>女</v>
      </c>
      <c r="F1910" s="8" t="str">
        <f>"1992-08-05"</f>
        <v>1992-08-05</v>
      </c>
      <c r="G1910" s="9"/>
    </row>
    <row r="1911" spans="1:7" ht="13.5">
      <c r="A1911" s="7">
        <v>1909</v>
      </c>
      <c r="B1911" s="8" t="str">
        <f>"234120200901165547810"</f>
        <v>234120200901165547810</v>
      </c>
      <c r="C1911" s="8" t="s">
        <v>10</v>
      </c>
      <c r="D1911" s="8" t="str">
        <f>"张君颜"</f>
        <v>张君颜</v>
      </c>
      <c r="E1911" s="8" t="str">
        <f t="shared" si="81"/>
        <v>女</v>
      </c>
      <c r="F1911" s="8" t="str">
        <f>"1992-12-10"</f>
        <v>1992-12-10</v>
      </c>
      <c r="G1911" s="9"/>
    </row>
    <row r="1912" spans="1:7" ht="13.5">
      <c r="A1912" s="7">
        <v>1910</v>
      </c>
      <c r="B1912" s="8" t="str">
        <f>"234120200901170951816"</f>
        <v>234120200901170951816</v>
      </c>
      <c r="C1912" s="8" t="s">
        <v>10</v>
      </c>
      <c r="D1912" s="8" t="str">
        <f>"游敏"</f>
        <v>游敏</v>
      </c>
      <c r="E1912" s="8" t="str">
        <f t="shared" si="81"/>
        <v>女</v>
      </c>
      <c r="F1912" s="8" t="str">
        <f>"1996-03-22"</f>
        <v>1996-03-22</v>
      </c>
      <c r="G1912" s="9"/>
    </row>
    <row r="1913" spans="1:7" ht="13.5">
      <c r="A1913" s="7">
        <v>1911</v>
      </c>
      <c r="B1913" s="8" t="str">
        <f>"234120200901174517829"</f>
        <v>234120200901174517829</v>
      </c>
      <c r="C1913" s="8" t="s">
        <v>10</v>
      </c>
      <c r="D1913" s="8" t="str">
        <f>"郑康敏"</f>
        <v>郑康敏</v>
      </c>
      <c r="E1913" s="8" t="str">
        <f t="shared" si="81"/>
        <v>女</v>
      </c>
      <c r="F1913" s="8" t="str">
        <f>"1997-03-15"</f>
        <v>1997-03-15</v>
      </c>
      <c r="G1913" s="9"/>
    </row>
    <row r="1914" spans="1:7" ht="13.5">
      <c r="A1914" s="7">
        <v>1912</v>
      </c>
      <c r="B1914" s="8" t="str">
        <f>"234120200901184230838"</f>
        <v>234120200901184230838</v>
      </c>
      <c r="C1914" s="8" t="s">
        <v>10</v>
      </c>
      <c r="D1914" s="8" t="str">
        <f>"周红"</f>
        <v>周红</v>
      </c>
      <c r="E1914" s="8" t="str">
        <f t="shared" si="81"/>
        <v>女</v>
      </c>
      <c r="F1914" s="8" t="str">
        <f>"1995-06-01"</f>
        <v>1995-06-01</v>
      </c>
      <c r="G1914" s="9"/>
    </row>
    <row r="1915" spans="1:7" ht="13.5">
      <c r="A1915" s="7">
        <v>1913</v>
      </c>
      <c r="B1915" s="8" t="str">
        <f>"234120200901184942842"</f>
        <v>234120200901184942842</v>
      </c>
      <c r="C1915" s="8" t="s">
        <v>10</v>
      </c>
      <c r="D1915" s="8" t="str">
        <f>"周雯静"</f>
        <v>周雯静</v>
      </c>
      <c r="E1915" s="8" t="str">
        <f t="shared" si="81"/>
        <v>女</v>
      </c>
      <c r="F1915" s="8" t="str">
        <f>"1996-11-15"</f>
        <v>1996-11-15</v>
      </c>
      <c r="G1915" s="9"/>
    </row>
    <row r="1916" spans="1:7" ht="13.5">
      <c r="A1916" s="7">
        <v>1914</v>
      </c>
      <c r="B1916" s="8" t="str">
        <f>"234120200901185328845"</f>
        <v>234120200901185328845</v>
      </c>
      <c r="C1916" s="8" t="s">
        <v>10</v>
      </c>
      <c r="D1916" s="8" t="str">
        <f>"朱贵乔"</f>
        <v>朱贵乔</v>
      </c>
      <c r="E1916" s="8" t="str">
        <f t="shared" si="81"/>
        <v>女</v>
      </c>
      <c r="F1916" s="8" t="str">
        <f>"1994-02-16"</f>
        <v>1994-02-16</v>
      </c>
      <c r="G1916" s="9"/>
    </row>
    <row r="1917" spans="1:7" ht="13.5">
      <c r="A1917" s="7">
        <v>1915</v>
      </c>
      <c r="B1917" s="8" t="str">
        <f>"234120200901190034848"</f>
        <v>234120200901190034848</v>
      </c>
      <c r="C1917" s="8" t="s">
        <v>10</v>
      </c>
      <c r="D1917" s="8" t="str">
        <f>"王月"</f>
        <v>王月</v>
      </c>
      <c r="E1917" s="8" t="str">
        <f t="shared" si="81"/>
        <v>女</v>
      </c>
      <c r="F1917" s="8" t="str">
        <f>"1994-10-23"</f>
        <v>1994-10-23</v>
      </c>
      <c r="G1917" s="9"/>
    </row>
    <row r="1918" spans="1:7" ht="13.5">
      <c r="A1918" s="7">
        <v>1916</v>
      </c>
      <c r="B1918" s="8" t="str">
        <f>"234120200901192424854"</f>
        <v>234120200901192424854</v>
      </c>
      <c r="C1918" s="8" t="s">
        <v>10</v>
      </c>
      <c r="D1918" s="8" t="str">
        <f>"王小莉"</f>
        <v>王小莉</v>
      </c>
      <c r="E1918" s="8" t="str">
        <f t="shared" si="81"/>
        <v>女</v>
      </c>
      <c r="F1918" s="8" t="str">
        <f>"1997-04-03"</f>
        <v>1997-04-03</v>
      </c>
      <c r="G1918" s="9"/>
    </row>
    <row r="1919" spans="1:7" ht="13.5">
      <c r="A1919" s="7">
        <v>1917</v>
      </c>
      <c r="B1919" s="8" t="str">
        <f>"234120200901192605855"</f>
        <v>234120200901192605855</v>
      </c>
      <c r="C1919" s="8" t="s">
        <v>10</v>
      </c>
      <c r="D1919" s="8" t="str">
        <f>"冯菁菁"</f>
        <v>冯菁菁</v>
      </c>
      <c r="E1919" s="8" t="str">
        <f t="shared" si="81"/>
        <v>女</v>
      </c>
      <c r="F1919" s="8" t="str">
        <f>"1998-02-26"</f>
        <v>1998-02-26</v>
      </c>
      <c r="G1919" s="9"/>
    </row>
    <row r="1920" spans="1:7" ht="13.5">
      <c r="A1920" s="7">
        <v>1918</v>
      </c>
      <c r="B1920" s="8" t="str">
        <f>"234120200901193038857"</f>
        <v>234120200901193038857</v>
      </c>
      <c r="C1920" s="8" t="s">
        <v>10</v>
      </c>
      <c r="D1920" s="8" t="str">
        <f>"苏燕玲"</f>
        <v>苏燕玲</v>
      </c>
      <c r="E1920" s="8" t="str">
        <f t="shared" si="81"/>
        <v>女</v>
      </c>
      <c r="F1920" s="8" t="str">
        <f>"1994-04-18"</f>
        <v>1994-04-18</v>
      </c>
      <c r="G1920" s="9"/>
    </row>
    <row r="1921" spans="1:7" ht="13.5">
      <c r="A1921" s="7">
        <v>1919</v>
      </c>
      <c r="B1921" s="8" t="str">
        <f>"234120200901195644862"</f>
        <v>234120200901195644862</v>
      </c>
      <c r="C1921" s="8" t="s">
        <v>10</v>
      </c>
      <c r="D1921" s="8" t="str">
        <f>"许林尾"</f>
        <v>许林尾</v>
      </c>
      <c r="E1921" s="8" t="str">
        <f aca="true" t="shared" si="82" ref="E1921:E1957">"女"</f>
        <v>女</v>
      </c>
      <c r="F1921" s="8" t="str">
        <f>"1991-05-09"</f>
        <v>1991-05-09</v>
      </c>
      <c r="G1921" s="9"/>
    </row>
    <row r="1922" spans="1:7" ht="13.5">
      <c r="A1922" s="7">
        <v>1920</v>
      </c>
      <c r="B1922" s="8" t="str">
        <f>"234120200901205314882"</f>
        <v>234120200901205314882</v>
      </c>
      <c r="C1922" s="8" t="s">
        <v>10</v>
      </c>
      <c r="D1922" s="8" t="str">
        <f>"赵浩羽"</f>
        <v>赵浩羽</v>
      </c>
      <c r="E1922" s="8" t="str">
        <f t="shared" si="82"/>
        <v>女</v>
      </c>
      <c r="F1922" s="8" t="str">
        <f>"1988-11-18"</f>
        <v>1988-11-18</v>
      </c>
      <c r="G1922" s="9"/>
    </row>
    <row r="1923" spans="1:7" ht="13.5">
      <c r="A1923" s="7">
        <v>1921</v>
      </c>
      <c r="B1923" s="8" t="str">
        <f>"234120200901213335893"</f>
        <v>234120200901213335893</v>
      </c>
      <c r="C1923" s="8" t="s">
        <v>10</v>
      </c>
      <c r="D1923" s="8" t="str">
        <f>"喻婷"</f>
        <v>喻婷</v>
      </c>
      <c r="E1923" s="8" t="str">
        <f t="shared" si="82"/>
        <v>女</v>
      </c>
      <c r="F1923" s="8" t="str">
        <f>"1986-08-05"</f>
        <v>1986-08-05</v>
      </c>
      <c r="G1923" s="9"/>
    </row>
    <row r="1924" spans="1:7" ht="13.5">
      <c r="A1924" s="7">
        <v>1922</v>
      </c>
      <c r="B1924" s="8" t="str">
        <f>"234120200901215044899"</f>
        <v>234120200901215044899</v>
      </c>
      <c r="C1924" s="8" t="s">
        <v>10</v>
      </c>
      <c r="D1924" s="8" t="str">
        <f>"王娉娉"</f>
        <v>王娉娉</v>
      </c>
      <c r="E1924" s="8" t="str">
        <f t="shared" si="82"/>
        <v>女</v>
      </c>
      <c r="F1924" s="8" t="str">
        <f>"1998-07-23"</f>
        <v>1998-07-23</v>
      </c>
      <c r="G1924" s="9"/>
    </row>
    <row r="1925" spans="1:7" ht="13.5">
      <c r="A1925" s="7">
        <v>1923</v>
      </c>
      <c r="B1925" s="8" t="str">
        <f>"234120200901215804904"</f>
        <v>234120200901215804904</v>
      </c>
      <c r="C1925" s="8" t="s">
        <v>10</v>
      </c>
      <c r="D1925" s="8" t="str">
        <f>"高芳琳"</f>
        <v>高芳琳</v>
      </c>
      <c r="E1925" s="8" t="str">
        <f t="shared" si="82"/>
        <v>女</v>
      </c>
      <c r="F1925" s="8" t="str">
        <f>"1991-09-13"</f>
        <v>1991-09-13</v>
      </c>
      <c r="G1925" s="9"/>
    </row>
    <row r="1926" spans="1:7" ht="13.5">
      <c r="A1926" s="7">
        <v>1924</v>
      </c>
      <c r="B1926" s="8" t="str">
        <f>"234120200901220233906"</f>
        <v>234120200901220233906</v>
      </c>
      <c r="C1926" s="8" t="s">
        <v>10</v>
      </c>
      <c r="D1926" s="8" t="str">
        <f>"陈法梅"</f>
        <v>陈法梅</v>
      </c>
      <c r="E1926" s="8" t="str">
        <f t="shared" si="82"/>
        <v>女</v>
      </c>
      <c r="F1926" s="8" t="str">
        <f>"1995-08-13"</f>
        <v>1995-08-13</v>
      </c>
      <c r="G1926" s="9"/>
    </row>
    <row r="1927" spans="1:7" ht="13.5">
      <c r="A1927" s="7">
        <v>1925</v>
      </c>
      <c r="B1927" s="8" t="str">
        <f>"234120200901221738911"</f>
        <v>234120200901221738911</v>
      </c>
      <c r="C1927" s="8" t="s">
        <v>10</v>
      </c>
      <c r="D1927" s="8" t="str">
        <f>"林青"</f>
        <v>林青</v>
      </c>
      <c r="E1927" s="8" t="str">
        <f t="shared" si="82"/>
        <v>女</v>
      </c>
      <c r="F1927" s="8" t="str">
        <f>"1991-05-04"</f>
        <v>1991-05-04</v>
      </c>
      <c r="G1927" s="9"/>
    </row>
    <row r="1928" spans="1:7" ht="13.5">
      <c r="A1928" s="7">
        <v>1926</v>
      </c>
      <c r="B1928" s="8" t="str">
        <f>"234120200901225059928"</f>
        <v>234120200901225059928</v>
      </c>
      <c r="C1928" s="8" t="s">
        <v>10</v>
      </c>
      <c r="D1928" s="8" t="str">
        <f>"温小曼"</f>
        <v>温小曼</v>
      </c>
      <c r="E1928" s="8" t="str">
        <f t="shared" si="82"/>
        <v>女</v>
      </c>
      <c r="F1928" s="8" t="str">
        <f>"1992-10-05"</f>
        <v>1992-10-05</v>
      </c>
      <c r="G1928" s="9"/>
    </row>
    <row r="1929" spans="1:7" ht="13.5">
      <c r="A1929" s="7">
        <v>1927</v>
      </c>
      <c r="B1929" s="8" t="str">
        <f>"234120200901235622939"</f>
        <v>234120200901235622939</v>
      </c>
      <c r="C1929" s="8" t="s">
        <v>10</v>
      </c>
      <c r="D1929" s="8" t="str">
        <f>"郭梦捷"</f>
        <v>郭梦捷</v>
      </c>
      <c r="E1929" s="8" t="str">
        <f t="shared" si="82"/>
        <v>女</v>
      </c>
      <c r="F1929" s="8" t="str">
        <f>"1991-08-23"</f>
        <v>1991-08-23</v>
      </c>
      <c r="G1929" s="9"/>
    </row>
    <row r="1930" spans="1:7" ht="13.5">
      <c r="A1930" s="7">
        <v>1928</v>
      </c>
      <c r="B1930" s="8" t="str">
        <f>"234120200902000049940"</f>
        <v>234120200902000049940</v>
      </c>
      <c r="C1930" s="8" t="s">
        <v>10</v>
      </c>
      <c r="D1930" s="8" t="str">
        <f>"郑园"</f>
        <v>郑园</v>
      </c>
      <c r="E1930" s="8" t="str">
        <f t="shared" si="82"/>
        <v>女</v>
      </c>
      <c r="F1930" s="8" t="str">
        <f>"1999-11-07"</f>
        <v>1999-11-07</v>
      </c>
      <c r="G1930" s="9"/>
    </row>
    <row r="1931" spans="1:7" ht="13.5">
      <c r="A1931" s="7">
        <v>1929</v>
      </c>
      <c r="B1931" s="8" t="str">
        <f>"234120200902002220941"</f>
        <v>234120200902002220941</v>
      </c>
      <c r="C1931" s="8" t="s">
        <v>10</v>
      </c>
      <c r="D1931" s="8" t="str">
        <f>"符启娇 "</f>
        <v>符启娇 </v>
      </c>
      <c r="E1931" s="8" t="str">
        <f t="shared" si="82"/>
        <v>女</v>
      </c>
      <c r="F1931" s="8" t="str">
        <f>"1992-02-14"</f>
        <v>1992-02-14</v>
      </c>
      <c r="G1931" s="9"/>
    </row>
    <row r="1932" spans="1:7" ht="13.5">
      <c r="A1932" s="7">
        <v>1930</v>
      </c>
      <c r="B1932" s="8" t="str">
        <f>"234120200902015855944"</f>
        <v>234120200902015855944</v>
      </c>
      <c r="C1932" s="8" t="s">
        <v>10</v>
      </c>
      <c r="D1932" s="8" t="str">
        <f>"吉美燕"</f>
        <v>吉美燕</v>
      </c>
      <c r="E1932" s="8" t="str">
        <f t="shared" si="82"/>
        <v>女</v>
      </c>
      <c r="F1932" s="8" t="str">
        <f>"1997-06-11"</f>
        <v>1997-06-11</v>
      </c>
      <c r="G1932" s="9"/>
    </row>
    <row r="1933" spans="1:7" ht="13.5">
      <c r="A1933" s="7">
        <v>1931</v>
      </c>
      <c r="B1933" s="8" t="str">
        <f>"234120200902085941952"</f>
        <v>234120200902085941952</v>
      </c>
      <c r="C1933" s="8" t="s">
        <v>10</v>
      </c>
      <c r="D1933" s="8" t="str">
        <f>"陈惠充"</f>
        <v>陈惠充</v>
      </c>
      <c r="E1933" s="8" t="str">
        <f t="shared" si="82"/>
        <v>女</v>
      </c>
      <c r="F1933" s="8" t="str">
        <f>"1991-09-25"</f>
        <v>1991-09-25</v>
      </c>
      <c r="G1933" s="9"/>
    </row>
    <row r="1934" spans="1:7" ht="13.5">
      <c r="A1934" s="7">
        <v>1932</v>
      </c>
      <c r="B1934" s="8" t="str">
        <f>"234120200902093434961"</f>
        <v>234120200902093434961</v>
      </c>
      <c r="C1934" s="8" t="s">
        <v>10</v>
      </c>
      <c r="D1934" s="8" t="str">
        <f>"王金玳"</f>
        <v>王金玳</v>
      </c>
      <c r="E1934" s="8" t="str">
        <f t="shared" si="82"/>
        <v>女</v>
      </c>
      <c r="F1934" s="8" t="str">
        <f>"1996-06-12"</f>
        <v>1996-06-12</v>
      </c>
      <c r="G1934" s="9"/>
    </row>
    <row r="1935" spans="1:7" ht="13.5">
      <c r="A1935" s="7">
        <v>1933</v>
      </c>
      <c r="B1935" s="8" t="str">
        <f>"234120200902094729965"</f>
        <v>234120200902094729965</v>
      </c>
      <c r="C1935" s="8" t="s">
        <v>10</v>
      </c>
      <c r="D1935" s="8" t="str">
        <f>"罗少静"</f>
        <v>罗少静</v>
      </c>
      <c r="E1935" s="8" t="str">
        <f t="shared" si="82"/>
        <v>女</v>
      </c>
      <c r="F1935" s="8" t="str">
        <f>"1995-02-26"</f>
        <v>1995-02-26</v>
      </c>
      <c r="G1935" s="9"/>
    </row>
    <row r="1936" spans="1:7" ht="13.5">
      <c r="A1936" s="7">
        <v>1934</v>
      </c>
      <c r="B1936" s="8" t="str">
        <f>"234120200902100333972"</f>
        <v>234120200902100333972</v>
      </c>
      <c r="C1936" s="8" t="s">
        <v>10</v>
      </c>
      <c r="D1936" s="8" t="str">
        <f>"陈广娜"</f>
        <v>陈广娜</v>
      </c>
      <c r="E1936" s="8" t="str">
        <f t="shared" si="82"/>
        <v>女</v>
      </c>
      <c r="F1936" s="8" t="str">
        <f>"1987-07-03"</f>
        <v>1987-07-03</v>
      </c>
      <c r="G1936" s="9"/>
    </row>
    <row r="1937" spans="1:7" ht="13.5">
      <c r="A1937" s="7">
        <v>1935</v>
      </c>
      <c r="B1937" s="8" t="str">
        <f>"234120200902102022978"</f>
        <v>234120200902102022978</v>
      </c>
      <c r="C1937" s="8" t="s">
        <v>10</v>
      </c>
      <c r="D1937" s="8" t="str">
        <f>"刘坤"</f>
        <v>刘坤</v>
      </c>
      <c r="E1937" s="8" t="str">
        <f t="shared" si="82"/>
        <v>女</v>
      </c>
      <c r="F1937" s="8" t="str">
        <f>"1995-02-04"</f>
        <v>1995-02-04</v>
      </c>
      <c r="G1937" s="9"/>
    </row>
    <row r="1938" spans="1:7" ht="13.5">
      <c r="A1938" s="7">
        <v>1936</v>
      </c>
      <c r="B1938" s="8" t="str">
        <f>"234120200902102727983"</f>
        <v>234120200902102727983</v>
      </c>
      <c r="C1938" s="8" t="s">
        <v>10</v>
      </c>
      <c r="D1938" s="8" t="str">
        <f>"周丹"</f>
        <v>周丹</v>
      </c>
      <c r="E1938" s="8" t="str">
        <f t="shared" si="82"/>
        <v>女</v>
      </c>
      <c r="F1938" s="8" t="str">
        <f>"1991-10-09"</f>
        <v>1991-10-09</v>
      </c>
      <c r="G1938" s="9"/>
    </row>
    <row r="1939" spans="1:7" ht="13.5">
      <c r="A1939" s="7">
        <v>1937</v>
      </c>
      <c r="B1939" s="8" t="str">
        <f>"234120200902103959987"</f>
        <v>234120200902103959987</v>
      </c>
      <c r="C1939" s="8" t="s">
        <v>10</v>
      </c>
      <c r="D1939" s="8" t="str">
        <f>"蒋思思"</f>
        <v>蒋思思</v>
      </c>
      <c r="E1939" s="8" t="str">
        <f t="shared" si="82"/>
        <v>女</v>
      </c>
      <c r="F1939" s="8" t="str">
        <f>"1986-02-13"</f>
        <v>1986-02-13</v>
      </c>
      <c r="G1939" s="9"/>
    </row>
    <row r="1940" spans="1:7" ht="13.5">
      <c r="A1940" s="7">
        <v>1938</v>
      </c>
      <c r="B1940" s="8" t="str">
        <f>"234120200902104713991"</f>
        <v>234120200902104713991</v>
      </c>
      <c r="C1940" s="8" t="s">
        <v>10</v>
      </c>
      <c r="D1940" s="8" t="str">
        <f>"何娇"</f>
        <v>何娇</v>
      </c>
      <c r="E1940" s="8" t="str">
        <f t="shared" si="82"/>
        <v>女</v>
      </c>
      <c r="F1940" s="8" t="str">
        <f>"1993-04-05"</f>
        <v>1993-04-05</v>
      </c>
      <c r="G1940" s="9"/>
    </row>
    <row r="1941" spans="1:7" ht="13.5">
      <c r="A1941" s="7">
        <v>1939</v>
      </c>
      <c r="B1941" s="8" t="str">
        <f>"234120200902105956994"</f>
        <v>234120200902105956994</v>
      </c>
      <c r="C1941" s="8" t="s">
        <v>10</v>
      </c>
      <c r="D1941" s="8" t="str">
        <f>"唐秋丹"</f>
        <v>唐秋丹</v>
      </c>
      <c r="E1941" s="8" t="str">
        <f t="shared" si="82"/>
        <v>女</v>
      </c>
      <c r="F1941" s="8" t="str">
        <f>"1996-10-25"</f>
        <v>1996-10-25</v>
      </c>
      <c r="G1941" s="9"/>
    </row>
    <row r="1942" spans="1:7" ht="13.5">
      <c r="A1942" s="7">
        <v>1940</v>
      </c>
      <c r="B1942" s="8" t="str">
        <f>"2341202009021149381005"</f>
        <v>2341202009021149381005</v>
      </c>
      <c r="C1942" s="8" t="s">
        <v>10</v>
      </c>
      <c r="D1942" s="8" t="str">
        <f>"王柳婷"</f>
        <v>王柳婷</v>
      </c>
      <c r="E1942" s="8" t="str">
        <f t="shared" si="82"/>
        <v>女</v>
      </c>
      <c r="F1942" s="8" t="str">
        <f>"1995-02-10"</f>
        <v>1995-02-10</v>
      </c>
      <c r="G1942" s="9"/>
    </row>
    <row r="1943" spans="1:7" ht="13.5">
      <c r="A1943" s="7">
        <v>1941</v>
      </c>
      <c r="B1943" s="8" t="str">
        <f>"2341202009021150141006"</f>
        <v>2341202009021150141006</v>
      </c>
      <c r="C1943" s="8" t="s">
        <v>10</v>
      </c>
      <c r="D1943" s="8" t="str">
        <f>"曾万英"</f>
        <v>曾万英</v>
      </c>
      <c r="E1943" s="8" t="str">
        <f t="shared" si="82"/>
        <v>女</v>
      </c>
      <c r="F1943" s="8" t="str">
        <f>"1996-05-09"</f>
        <v>1996-05-09</v>
      </c>
      <c r="G1943" s="9"/>
    </row>
    <row r="1944" spans="1:7" ht="13.5">
      <c r="A1944" s="7">
        <v>1942</v>
      </c>
      <c r="B1944" s="8" t="str">
        <f>"2341202009021341491032"</f>
        <v>2341202009021341491032</v>
      </c>
      <c r="C1944" s="8" t="s">
        <v>10</v>
      </c>
      <c r="D1944" s="8" t="str">
        <f>"郭照琳"</f>
        <v>郭照琳</v>
      </c>
      <c r="E1944" s="8" t="str">
        <f t="shared" si="82"/>
        <v>女</v>
      </c>
      <c r="F1944" s="8" t="str">
        <f>"1998-10-20"</f>
        <v>1998-10-20</v>
      </c>
      <c r="G1944" s="9"/>
    </row>
    <row r="1945" spans="1:7" ht="13.5">
      <c r="A1945" s="7">
        <v>1943</v>
      </c>
      <c r="B1945" s="8" t="str">
        <f>"2341202009021432251038"</f>
        <v>2341202009021432251038</v>
      </c>
      <c r="C1945" s="8" t="s">
        <v>10</v>
      </c>
      <c r="D1945" s="8" t="str">
        <f>"罗春凉"</f>
        <v>罗春凉</v>
      </c>
      <c r="E1945" s="8" t="str">
        <f t="shared" si="82"/>
        <v>女</v>
      </c>
      <c r="F1945" s="8" t="str">
        <f>"1991-06-05"</f>
        <v>1991-06-05</v>
      </c>
      <c r="G1945" s="9"/>
    </row>
    <row r="1946" spans="1:7" ht="13.5">
      <c r="A1946" s="7">
        <v>1944</v>
      </c>
      <c r="B1946" s="8" t="str">
        <f>"2341202009021444321040"</f>
        <v>2341202009021444321040</v>
      </c>
      <c r="C1946" s="8" t="s">
        <v>10</v>
      </c>
      <c r="D1946" s="8" t="str">
        <f>"林燕燕"</f>
        <v>林燕燕</v>
      </c>
      <c r="E1946" s="8" t="str">
        <f t="shared" si="82"/>
        <v>女</v>
      </c>
      <c r="F1946" s="8" t="str">
        <f>"1994-11-10"</f>
        <v>1994-11-10</v>
      </c>
      <c r="G1946" s="9"/>
    </row>
    <row r="1947" spans="1:7" ht="13.5">
      <c r="A1947" s="7">
        <v>1945</v>
      </c>
      <c r="B1947" s="8" t="str">
        <f>"2341202009021503511042"</f>
        <v>2341202009021503511042</v>
      </c>
      <c r="C1947" s="8" t="s">
        <v>10</v>
      </c>
      <c r="D1947" s="8" t="str">
        <f>"张文婕"</f>
        <v>张文婕</v>
      </c>
      <c r="E1947" s="8" t="str">
        <f t="shared" si="82"/>
        <v>女</v>
      </c>
      <c r="F1947" s="8" t="str">
        <f>"1987-05-20"</f>
        <v>1987-05-20</v>
      </c>
      <c r="G1947" s="9"/>
    </row>
    <row r="1948" spans="1:7" ht="13.5">
      <c r="A1948" s="7">
        <v>1946</v>
      </c>
      <c r="B1948" s="8" t="str">
        <f>"2341202009021508301044"</f>
        <v>2341202009021508301044</v>
      </c>
      <c r="C1948" s="8" t="s">
        <v>10</v>
      </c>
      <c r="D1948" s="8" t="str">
        <f>"吴凯丽"</f>
        <v>吴凯丽</v>
      </c>
      <c r="E1948" s="8" t="str">
        <f t="shared" si="82"/>
        <v>女</v>
      </c>
      <c r="F1948" s="8" t="str">
        <f>"1994-08-10"</f>
        <v>1994-08-10</v>
      </c>
      <c r="G1948" s="9"/>
    </row>
    <row r="1949" spans="1:7" ht="13.5">
      <c r="A1949" s="7">
        <v>1947</v>
      </c>
      <c r="B1949" s="8" t="str">
        <f>"2341202009021514081047"</f>
        <v>2341202009021514081047</v>
      </c>
      <c r="C1949" s="8" t="s">
        <v>10</v>
      </c>
      <c r="D1949" s="8" t="str">
        <f>"王绥薇"</f>
        <v>王绥薇</v>
      </c>
      <c r="E1949" s="8" t="str">
        <f t="shared" si="82"/>
        <v>女</v>
      </c>
      <c r="F1949" s="8" t="str">
        <f>"1992-07-15"</f>
        <v>1992-07-15</v>
      </c>
      <c r="G1949" s="9"/>
    </row>
    <row r="1950" spans="1:7" ht="13.5">
      <c r="A1950" s="7">
        <v>1948</v>
      </c>
      <c r="B1950" s="8" t="str">
        <f>"2341202009021541201060"</f>
        <v>2341202009021541201060</v>
      </c>
      <c r="C1950" s="8" t="s">
        <v>10</v>
      </c>
      <c r="D1950" s="8" t="str">
        <f>"焦丁宁"</f>
        <v>焦丁宁</v>
      </c>
      <c r="E1950" s="8" t="str">
        <f t="shared" si="82"/>
        <v>女</v>
      </c>
      <c r="F1950" s="8" t="str">
        <f>"1985-06-19"</f>
        <v>1985-06-19</v>
      </c>
      <c r="G1950" s="9"/>
    </row>
    <row r="1951" spans="1:7" ht="13.5">
      <c r="A1951" s="7">
        <v>1949</v>
      </c>
      <c r="B1951" s="8" t="str">
        <f>"2341202009021544321062"</f>
        <v>2341202009021544321062</v>
      </c>
      <c r="C1951" s="8" t="s">
        <v>10</v>
      </c>
      <c r="D1951" s="8" t="str">
        <f>"文昌召"</f>
        <v>文昌召</v>
      </c>
      <c r="E1951" s="8" t="str">
        <f t="shared" si="82"/>
        <v>女</v>
      </c>
      <c r="F1951" s="8" t="str">
        <f>"1995-09-08"</f>
        <v>1995-09-08</v>
      </c>
      <c r="G1951" s="9"/>
    </row>
    <row r="1952" spans="1:7" ht="13.5">
      <c r="A1952" s="7">
        <v>1950</v>
      </c>
      <c r="B1952" s="8" t="str">
        <f>"2341202009021554531064"</f>
        <v>2341202009021554531064</v>
      </c>
      <c r="C1952" s="8" t="s">
        <v>10</v>
      </c>
      <c r="D1952" s="8" t="str">
        <f>"李宗晓"</f>
        <v>李宗晓</v>
      </c>
      <c r="E1952" s="8" t="str">
        <f t="shared" si="82"/>
        <v>女</v>
      </c>
      <c r="F1952" s="8" t="str">
        <f>"1993-08-07"</f>
        <v>1993-08-07</v>
      </c>
      <c r="G1952" s="9"/>
    </row>
    <row r="1953" spans="1:7" ht="13.5">
      <c r="A1953" s="7">
        <v>1951</v>
      </c>
      <c r="B1953" s="8" t="str">
        <f>"2341202009021559001066"</f>
        <v>2341202009021559001066</v>
      </c>
      <c r="C1953" s="8" t="s">
        <v>10</v>
      </c>
      <c r="D1953" s="8" t="str">
        <f>"秦少凤"</f>
        <v>秦少凤</v>
      </c>
      <c r="E1953" s="8" t="str">
        <f t="shared" si="82"/>
        <v>女</v>
      </c>
      <c r="F1953" s="8" t="str">
        <f>"1990-12-14"</f>
        <v>1990-12-14</v>
      </c>
      <c r="G1953" s="9"/>
    </row>
    <row r="1954" spans="1:7" ht="13.5">
      <c r="A1954" s="7">
        <v>1952</v>
      </c>
      <c r="B1954" s="8" t="str">
        <f>"2341202009021610001067"</f>
        <v>2341202009021610001067</v>
      </c>
      <c r="C1954" s="8" t="s">
        <v>10</v>
      </c>
      <c r="D1954" s="8" t="str">
        <f>"宋盈慧"</f>
        <v>宋盈慧</v>
      </c>
      <c r="E1954" s="8" t="str">
        <f t="shared" si="82"/>
        <v>女</v>
      </c>
      <c r="F1954" s="8" t="str">
        <f>"1993-06-26"</f>
        <v>1993-06-26</v>
      </c>
      <c r="G1954" s="9"/>
    </row>
    <row r="1955" spans="1:7" ht="13.5">
      <c r="A1955" s="7">
        <v>1953</v>
      </c>
      <c r="B1955" s="8" t="str">
        <f>"2341202009021611021068"</f>
        <v>2341202009021611021068</v>
      </c>
      <c r="C1955" s="8" t="s">
        <v>10</v>
      </c>
      <c r="D1955" s="8" t="str">
        <f>"邹秀丽"</f>
        <v>邹秀丽</v>
      </c>
      <c r="E1955" s="8" t="str">
        <f t="shared" si="82"/>
        <v>女</v>
      </c>
      <c r="F1955" s="8" t="str">
        <f>"1991-10-23"</f>
        <v>1991-10-23</v>
      </c>
      <c r="G1955" s="9"/>
    </row>
    <row r="1956" spans="1:7" ht="13.5">
      <c r="A1956" s="7">
        <v>1954</v>
      </c>
      <c r="B1956" s="8" t="str">
        <f>"2341202009021617201070"</f>
        <v>2341202009021617201070</v>
      </c>
      <c r="C1956" s="8" t="s">
        <v>10</v>
      </c>
      <c r="D1956" s="8" t="str">
        <f>"王敏超"</f>
        <v>王敏超</v>
      </c>
      <c r="E1956" s="8" t="str">
        <f t="shared" si="82"/>
        <v>女</v>
      </c>
      <c r="F1956" s="8" t="str">
        <f>"1993-04-20"</f>
        <v>1993-04-20</v>
      </c>
      <c r="G1956" s="9"/>
    </row>
    <row r="1957" spans="1:7" ht="13.5">
      <c r="A1957" s="7">
        <v>1955</v>
      </c>
      <c r="B1957" s="8" t="str">
        <f>"2341202009021714531084"</f>
        <v>2341202009021714531084</v>
      </c>
      <c r="C1957" s="8" t="s">
        <v>10</v>
      </c>
      <c r="D1957" s="8" t="str">
        <f>"陈瑞玲"</f>
        <v>陈瑞玲</v>
      </c>
      <c r="E1957" s="8" t="str">
        <f t="shared" si="82"/>
        <v>女</v>
      </c>
      <c r="F1957" s="8" t="str">
        <f>"1993-10-24"</f>
        <v>1993-10-24</v>
      </c>
      <c r="G1957" s="9"/>
    </row>
    <row r="1958" spans="1:7" ht="13.5">
      <c r="A1958" s="7">
        <v>1956</v>
      </c>
      <c r="B1958" s="8" t="str">
        <f>"2341202009021722191087"</f>
        <v>2341202009021722191087</v>
      </c>
      <c r="C1958" s="8" t="s">
        <v>10</v>
      </c>
      <c r="D1958" s="8" t="str">
        <f>"邢成变"</f>
        <v>邢成变</v>
      </c>
      <c r="E1958" s="8" t="str">
        <f>"男"</f>
        <v>男</v>
      </c>
      <c r="F1958" s="8" t="str">
        <f>"1996-09-13"</f>
        <v>1996-09-13</v>
      </c>
      <c r="G1958" s="9"/>
    </row>
    <row r="1959" spans="1:7" ht="13.5">
      <c r="A1959" s="7">
        <v>1957</v>
      </c>
      <c r="B1959" s="8" t="str">
        <f>"2341202009021727361091"</f>
        <v>2341202009021727361091</v>
      </c>
      <c r="C1959" s="8" t="s">
        <v>10</v>
      </c>
      <c r="D1959" s="8" t="str">
        <f>"关凯尹"</f>
        <v>关凯尹</v>
      </c>
      <c r="E1959" s="8" t="str">
        <f aca="true" t="shared" si="83" ref="E1959:E1997">"女"</f>
        <v>女</v>
      </c>
      <c r="F1959" s="8" t="str">
        <f>"1994-02-01"</f>
        <v>1994-02-01</v>
      </c>
      <c r="G1959" s="9"/>
    </row>
    <row r="1960" spans="1:7" ht="13.5">
      <c r="A1960" s="7">
        <v>1958</v>
      </c>
      <c r="B1960" s="8" t="str">
        <f>"2341202009021740341095"</f>
        <v>2341202009021740341095</v>
      </c>
      <c r="C1960" s="8" t="s">
        <v>10</v>
      </c>
      <c r="D1960" s="8" t="str">
        <f>"吴小婷"</f>
        <v>吴小婷</v>
      </c>
      <c r="E1960" s="8" t="str">
        <f t="shared" si="83"/>
        <v>女</v>
      </c>
      <c r="F1960" s="8" t="str">
        <f>"1995-03-15"</f>
        <v>1995-03-15</v>
      </c>
      <c r="G1960" s="9"/>
    </row>
    <row r="1961" spans="1:7" ht="13.5">
      <c r="A1961" s="7">
        <v>1959</v>
      </c>
      <c r="B1961" s="8" t="str">
        <f>"2341202009021815481103"</f>
        <v>2341202009021815481103</v>
      </c>
      <c r="C1961" s="8" t="s">
        <v>10</v>
      </c>
      <c r="D1961" s="8" t="str">
        <f>"吴娜二"</f>
        <v>吴娜二</v>
      </c>
      <c r="E1961" s="8" t="str">
        <f t="shared" si="83"/>
        <v>女</v>
      </c>
      <c r="F1961" s="8" t="str">
        <f>"1989-08-04"</f>
        <v>1989-08-04</v>
      </c>
      <c r="G1961" s="9"/>
    </row>
    <row r="1962" spans="1:7" ht="13.5">
      <c r="A1962" s="7">
        <v>1960</v>
      </c>
      <c r="B1962" s="8" t="str">
        <f>"2341202009021924201116"</f>
        <v>2341202009021924201116</v>
      </c>
      <c r="C1962" s="8" t="s">
        <v>10</v>
      </c>
      <c r="D1962" s="8" t="str">
        <f>"胡晶晶"</f>
        <v>胡晶晶</v>
      </c>
      <c r="E1962" s="8" t="str">
        <f t="shared" si="83"/>
        <v>女</v>
      </c>
      <c r="F1962" s="8" t="str">
        <f>"1996-07-14"</f>
        <v>1996-07-14</v>
      </c>
      <c r="G1962" s="9"/>
    </row>
    <row r="1963" spans="1:7" ht="13.5">
      <c r="A1963" s="7">
        <v>1961</v>
      </c>
      <c r="B1963" s="8" t="str">
        <f>"2341202009022043031133"</f>
        <v>2341202009022043031133</v>
      </c>
      <c r="C1963" s="8" t="s">
        <v>10</v>
      </c>
      <c r="D1963" s="8" t="str">
        <f>"吴金爱"</f>
        <v>吴金爱</v>
      </c>
      <c r="E1963" s="8" t="str">
        <f t="shared" si="83"/>
        <v>女</v>
      </c>
      <c r="F1963" s="8" t="str">
        <f>"1992-11-05"</f>
        <v>1992-11-05</v>
      </c>
      <c r="G1963" s="9"/>
    </row>
    <row r="1964" spans="1:7" ht="13.5">
      <c r="A1964" s="7">
        <v>1962</v>
      </c>
      <c r="B1964" s="8" t="str">
        <f>"2341202009022114461138"</f>
        <v>2341202009022114461138</v>
      </c>
      <c r="C1964" s="8" t="s">
        <v>10</v>
      </c>
      <c r="D1964" s="8" t="str">
        <f>"哈聪晓"</f>
        <v>哈聪晓</v>
      </c>
      <c r="E1964" s="8" t="str">
        <f t="shared" si="83"/>
        <v>女</v>
      </c>
      <c r="F1964" s="8" t="str">
        <f>"1995-05-23"</f>
        <v>1995-05-23</v>
      </c>
      <c r="G1964" s="9"/>
    </row>
    <row r="1965" spans="1:7" ht="13.5">
      <c r="A1965" s="7">
        <v>1963</v>
      </c>
      <c r="B1965" s="8" t="str">
        <f>"2341202009022118291143"</f>
        <v>2341202009022118291143</v>
      </c>
      <c r="C1965" s="8" t="s">
        <v>10</v>
      </c>
      <c r="D1965" s="8" t="str">
        <f>"陈树美"</f>
        <v>陈树美</v>
      </c>
      <c r="E1965" s="8" t="str">
        <f t="shared" si="83"/>
        <v>女</v>
      </c>
      <c r="F1965" s="8" t="str">
        <f>"1995-10-03"</f>
        <v>1995-10-03</v>
      </c>
      <c r="G1965" s="9"/>
    </row>
    <row r="1966" spans="1:7" ht="13.5">
      <c r="A1966" s="7">
        <v>1964</v>
      </c>
      <c r="B1966" s="8" t="str">
        <f>"2341202009022132571148"</f>
        <v>2341202009022132571148</v>
      </c>
      <c r="C1966" s="8" t="s">
        <v>10</v>
      </c>
      <c r="D1966" s="8" t="str">
        <f>"高元春"</f>
        <v>高元春</v>
      </c>
      <c r="E1966" s="8" t="str">
        <f t="shared" si="83"/>
        <v>女</v>
      </c>
      <c r="F1966" s="8" t="str">
        <f>"1997-02-23"</f>
        <v>1997-02-23</v>
      </c>
      <c r="G1966" s="9"/>
    </row>
    <row r="1967" spans="1:7" ht="13.5">
      <c r="A1967" s="7">
        <v>1965</v>
      </c>
      <c r="B1967" s="8" t="str">
        <f>"2341202009022138131153"</f>
        <v>2341202009022138131153</v>
      </c>
      <c r="C1967" s="8" t="s">
        <v>10</v>
      </c>
      <c r="D1967" s="8" t="str">
        <f>"王婷婷"</f>
        <v>王婷婷</v>
      </c>
      <c r="E1967" s="8" t="str">
        <f t="shared" si="83"/>
        <v>女</v>
      </c>
      <c r="F1967" s="8" t="str">
        <f>"1993-12-15"</f>
        <v>1993-12-15</v>
      </c>
      <c r="G1967" s="9"/>
    </row>
    <row r="1968" spans="1:7" ht="13.5">
      <c r="A1968" s="7">
        <v>1966</v>
      </c>
      <c r="B1968" s="8" t="str">
        <f>"2341202009022221501163"</f>
        <v>2341202009022221501163</v>
      </c>
      <c r="C1968" s="8" t="s">
        <v>10</v>
      </c>
      <c r="D1968" s="8" t="str">
        <f>"陈秀瑜"</f>
        <v>陈秀瑜</v>
      </c>
      <c r="E1968" s="8" t="str">
        <f t="shared" si="83"/>
        <v>女</v>
      </c>
      <c r="F1968" s="8" t="str">
        <f>"1993-09-01"</f>
        <v>1993-09-01</v>
      </c>
      <c r="G1968" s="9"/>
    </row>
    <row r="1969" spans="1:7" ht="13.5">
      <c r="A1969" s="7">
        <v>1967</v>
      </c>
      <c r="B1969" s="8" t="str">
        <f>"2341202009022235201166"</f>
        <v>2341202009022235201166</v>
      </c>
      <c r="C1969" s="8" t="s">
        <v>10</v>
      </c>
      <c r="D1969" s="8" t="str">
        <f>"卢兰珍"</f>
        <v>卢兰珍</v>
      </c>
      <c r="E1969" s="8" t="str">
        <f t="shared" si="83"/>
        <v>女</v>
      </c>
      <c r="F1969" s="8" t="str">
        <f>"1991-11-03"</f>
        <v>1991-11-03</v>
      </c>
      <c r="G1969" s="9"/>
    </row>
    <row r="1970" spans="1:7" ht="13.5">
      <c r="A1970" s="7">
        <v>1968</v>
      </c>
      <c r="B1970" s="8" t="str">
        <f>"2341202009022238251168"</f>
        <v>2341202009022238251168</v>
      </c>
      <c r="C1970" s="8" t="s">
        <v>10</v>
      </c>
      <c r="D1970" s="8" t="str">
        <f>"林君"</f>
        <v>林君</v>
      </c>
      <c r="E1970" s="8" t="str">
        <f t="shared" si="83"/>
        <v>女</v>
      </c>
      <c r="F1970" s="8" t="str">
        <f>"1985-10-02"</f>
        <v>1985-10-02</v>
      </c>
      <c r="G1970" s="9"/>
    </row>
    <row r="1971" spans="1:7" ht="13.5">
      <c r="A1971" s="7">
        <v>1969</v>
      </c>
      <c r="B1971" s="8" t="str">
        <f>"2341202009022243271170"</f>
        <v>2341202009022243271170</v>
      </c>
      <c r="C1971" s="8" t="s">
        <v>10</v>
      </c>
      <c r="D1971" s="8" t="str">
        <f>"谢小静 "</f>
        <v>谢小静 </v>
      </c>
      <c r="E1971" s="8" t="str">
        <f t="shared" si="83"/>
        <v>女</v>
      </c>
      <c r="F1971" s="8" t="str">
        <f>"1995-12-22"</f>
        <v>1995-12-22</v>
      </c>
      <c r="G1971" s="9"/>
    </row>
    <row r="1972" spans="1:7" ht="13.5">
      <c r="A1972" s="7">
        <v>1970</v>
      </c>
      <c r="B1972" s="8" t="str">
        <f>"2341202009022254161173"</f>
        <v>2341202009022254161173</v>
      </c>
      <c r="C1972" s="8" t="s">
        <v>10</v>
      </c>
      <c r="D1972" s="8" t="str">
        <f>"王娟"</f>
        <v>王娟</v>
      </c>
      <c r="E1972" s="8" t="str">
        <f t="shared" si="83"/>
        <v>女</v>
      </c>
      <c r="F1972" s="8" t="str">
        <f>"1987-04-07"</f>
        <v>1987-04-07</v>
      </c>
      <c r="G1972" s="9"/>
    </row>
    <row r="1973" spans="1:7" ht="13.5">
      <c r="A1973" s="7">
        <v>1971</v>
      </c>
      <c r="B1973" s="8" t="str">
        <f>"2341202009022320501175"</f>
        <v>2341202009022320501175</v>
      </c>
      <c r="C1973" s="8" t="s">
        <v>10</v>
      </c>
      <c r="D1973" s="8" t="str">
        <f>"王娜"</f>
        <v>王娜</v>
      </c>
      <c r="E1973" s="8" t="str">
        <f t="shared" si="83"/>
        <v>女</v>
      </c>
      <c r="F1973" s="8" t="str">
        <f>"1990-07-23"</f>
        <v>1990-07-23</v>
      </c>
      <c r="G1973" s="9"/>
    </row>
    <row r="1974" spans="1:7" ht="13.5">
      <c r="A1974" s="7">
        <v>1972</v>
      </c>
      <c r="B1974" s="8" t="str">
        <f>"2341202009022342211182"</f>
        <v>2341202009022342211182</v>
      </c>
      <c r="C1974" s="8" t="s">
        <v>10</v>
      </c>
      <c r="D1974" s="8" t="str">
        <f>"罗秋雨"</f>
        <v>罗秋雨</v>
      </c>
      <c r="E1974" s="8" t="str">
        <f t="shared" si="83"/>
        <v>女</v>
      </c>
      <c r="F1974" s="8" t="str">
        <f>"1996-09-12"</f>
        <v>1996-09-12</v>
      </c>
      <c r="G1974" s="9"/>
    </row>
    <row r="1975" spans="1:7" ht="13.5">
      <c r="A1975" s="7">
        <v>1973</v>
      </c>
      <c r="B1975" s="8" t="str">
        <f>"2341202009030119101188"</f>
        <v>2341202009030119101188</v>
      </c>
      <c r="C1975" s="8" t="s">
        <v>10</v>
      </c>
      <c r="D1975" s="8" t="str">
        <f>"罗露茹"</f>
        <v>罗露茹</v>
      </c>
      <c r="E1975" s="8" t="str">
        <f t="shared" si="83"/>
        <v>女</v>
      </c>
      <c r="F1975" s="8" t="str">
        <f>"1988-02-18"</f>
        <v>1988-02-18</v>
      </c>
      <c r="G1975" s="9"/>
    </row>
    <row r="1976" spans="1:7" ht="13.5">
      <c r="A1976" s="7">
        <v>1974</v>
      </c>
      <c r="B1976" s="8" t="str">
        <f>"2341202009030912261200"</f>
        <v>2341202009030912261200</v>
      </c>
      <c r="C1976" s="8" t="s">
        <v>10</v>
      </c>
      <c r="D1976" s="8" t="str">
        <f>"王婷"</f>
        <v>王婷</v>
      </c>
      <c r="E1976" s="8" t="str">
        <f t="shared" si="83"/>
        <v>女</v>
      </c>
      <c r="F1976" s="8" t="str">
        <f>"1996-06-27"</f>
        <v>1996-06-27</v>
      </c>
      <c r="G1976" s="9"/>
    </row>
    <row r="1977" spans="1:7" ht="13.5">
      <c r="A1977" s="7">
        <v>1975</v>
      </c>
      <c r="B1977" s="8" t="str">
        <f>"2341202009030923521201"</f>
        <v>2341202009030923521201</v>
      </c>
      <c r="C1977" s="8" t="s">
        <v>10</v>
      </c>
      <c r="D1977" s="8" t="str">
        <f>"吴真真"</f>
        <v>吴真真</v>
      </c>
      <c r="E1977" s="8" t="str">
        <f t="shared" si="83"/>
        <v>女</v>
      </c>
      <c r="F1977" s="8" t="str">
        <f>"1998-07-18"</f>
        <v>1998-07-18</v>
      </c>
      <c r="G1977" s="9"/>
    </row>
    <row r="1978" spans="1:7" ht="13.5">
      <c r="A1978" s="7">
        <v>1976</v>
      </c>
      <c r="B1978" s="8" t="str">
        <f>"2341202009030940201205"</f>
        <v>2341202009030940201205</v>
      </c>
      <c r="C1978" s="8" t="s">
        <v>10</v>
      </c>
      <c r="D1978" s="8" t="str">
        <f>"陈佳妮"</f>
        <v>陈佳妮</v>
      </c>
      <c r="E1978" s="8" t="str">
        <f t="shared" si="83"/>
        <v>女</v>
      </c>
      <c r="F1978" s="8" t="str">
        <f>"1995-07-22"</f>
        <v>1995-07-22</v>
      </c>
      <c r="G1978" s="9"/>
    </row>
    <row r="1979" spans="1:7" ht="13.5">
      <c r="A1979" s="7">
        <v>1977</v>
      </c>
      <c r="B1979" s="8" t="str">
        <f>"2341202009030945211206"</f>
        <v>2341202009030945211206</v>
      </c>
      <c r="C1979" s="8" t="s">
        <v>10</v>
      </c>
      <c r="D1979" s="8" t="str">
        <f>"汪艳艳"</f>
        <v>汪艳艳</v>
      </c>
      <c r="E1979" s="8" t="str">
        <f t="shared" si="83"/>
        <v>女</v>
      </c>
      <c r="F1979" s="8" t="str">
        <f>"1990-12-14"</f>
        <v>1990-12-14</v>
      </c>
      <c r="G1979" s="9"/>
    </row>
    <row r="1980" spans="1:7" ht="13.5">
      <c r="A1980" s="7">
        <v>1978</v>
      </c>
      <c r="B1980" s="8" t="str">
        <f>"2341202009031001491212"</f>
        <v>2341202009031001491212</v>
      </c>
      <c r="C1980" s="8" t="s">
        <v>10</v>
      </c>
      <c r="D1980" s="8" t="str">
        <f>"周玉玲"</f>
        <v>周玉玲</v>
      </c>
      <c r="E1980" s="8" t="str">
        <f t="shared" si="83"/>
        <v>女</v>
      </c>
      <c r="F1980" s="8" t="str">
        <f>"1987-03-12"</f>
        <v>1987-03-12</v>
      </c>
      <c r="G1980" s="9"/>
    </row>
    <row r="1981" spans="1:7" ht="13.5">
      <c r="A1981" s="7">
        <v>1979</v>
      </c>
      <c r="B1981" s="8" t="str">
        <f>"2341202009031012251218"</f>
        <v>2341202009031012251218</v>
      </c>
      <c r="C1981" s="8" t="s">
        <v>10</v>
      </c>
      <c r="D1981" s="8" t="str">
        <f>"杜燕"</f>
        <v>杜燕</v>
      </c>
      <c r="E1981" s="8" t="str">
        <f t="shared" si="83"/>
        <v>女</v>
      </c>
      <c r="F1981" s="8" t="str">
        <f>"1996-02-09"</f>
        <v>1996-02-09</v>
      </c>
      <c r="G1981" s="9"/>
    </row>
    <row r="1982" spans="1:7" ht="13.5">
      <c r="A1982" s="7">
        <v>1980</v>
      </c>
      <c r="B1982" s="8" t="str">
        <f>"2341202009031014131220"</f>
        <v>2341202009031014131220</v>
      </c>
      <c r="C1982" s="8" t="s">
        <v>10</v>
      </c>
      <c r="D1982" s="8" t="str">
        <f>"郑顺花"</f>
        <v>郑顺花</v>
      </c>
      <c r="E1982" s="8" t="str">
        <f t="shared" si="83"/>
        <v>女</v>
      </c>
      <c r="F1982" s="8" t="str">
        <f>"1993-05-16"</f>
        <v>1993-05-16</v>
      </c>
      <c r="G1982" s="9"/>
    </row>
    <row r="1983" spans="1:7" ht="13.5">
      <c r="A1983" s="7">
        <v>1981</v>
      </c>
      <c r="B1983" s="8" t="str">
        <f>"2341202009031047281230"</f>
        <v>2341202009031047281230</v>
      </c>
      <c r="C1983" s="8" t="s">
        <v>10</v>
      </c>
      <c r="D1983" s="8" t="str">
        <f>"韩博"</f>
        <v>韩博</v>
      </c>
      <c r="E1983" s="8" t="str">
        <f t="shared" si="83"/>
        <v>女</v>
      </c>
      <c r="F1983" s="8" t="str">
        <f>"1995-11-17"</f>
        <v>1995-11-17</v>
      </c>
      <c r="G1983" s="9"/>
    </row>
    <row r="1984" spans="1:7" ht="13.5">
      <c r="A1984" s="7">
        <v>1982</v>
      </c>
      <c r="B1984" s="8" t="str">
        <f>"2341202009031102071235"</f>
        <v>2341202009031102071235</v>
      </c>
      <c r="C1984" s="8" t="s">
        <v>10</v>
      </c>
      <c r="D1984" s="8" t="str">
        <f>"黄星星"</f>
        <v>黄星星</v>
      </c>
      <c r="E1984" s="8" t="str">
        <f t="shared" si="83"/>
        <v>女</v>
      </c>
      <c r="F1984" s="8" t="str">
        <f>"1996-08-20"</f>
        <v>1996-08-20</v>
      </c>
      <c r="G1984" s="9"/>
    </row>
    <row r="1985" spans="1:7" ht="13.5">
      <c r="A1985" s="7">
        <v>1983</v>
      </c>
      <c r="B1985" s="8" t="str">
        <f>"2341202009031110031241"</f>
        <v>2341202009031110031241</v>
      </c>
      <c r="C1985" s="8" t="s">
        <v>10</v>
      </c>
      <c r="D1985" s="8" t="str">
        <f>"蔡丹丹"</f>
        <v>蔡丹丹</v>
      </c>
      <c r="E1985" s="8" t="str">
        <f t="shared" si="83"/>
        <v>女</v>
      </c>
      <c r="F1985" s="8" t="str">
        <f>"1995-10-07"</f>
        <v>1995-10-07</v>
      </c>
      <c r="G1985" s="9"/>
    </row>
    <row r="1986" spans="1:7" ht="13.5">
      <c r="A1986" s="7">
        <v>1984</v>
      </c>
      <c r="B1986" s="8" t="str">
        <f>"2341202009031115271244"</f>
        <v>2341202009031115271244</v>
      </c>
      <c r="C1986" s="8" t="s">
        <v>10</v>
      </c>
      <c r="D1986" s="8" t="str">
        <f>"黄星月"</f>
        <v>黄星月</v>
      </c>
      <c r="E1986" s="8" t="str">
        <f t="shared" si="83"/>
        <v>女</v>
      </c>
      <c r="F1986" s="8" t="str">
        <f>"1990-12-16"</f>
        <v>1990-12-16</v>
      </c>
      <c r="G1986" s="9"/>
    </row>
    <row r="1987" spans="1:7" ht="13.5">
      <c r="A1987" s="7">
        <v>1985</v>
      </c>
      <c r="B1987" s="8" t="str">
        <f>"2341202009031148491250"</f>
        <v>2341202009031148491250</v>
      </c>
      <c r="C1987" s="8" t="s">
        <v>10</v>
      </c>
      <c r="D1987" s="8" t="str">
        <f>"苏文欣"</f>
        <v>苏文欣</v>
      </c>
      <c r="E1987" s="8" t="str">
        <f t="shared" si="83"/>
        <v>女</v>
      </c>
      <c r="F1987" s="8" t="str">
        <f>"1991-01-28"</f>
        <v>1991-01-28</v>
      </c>
      <c r="G1987" s="9"/>
    </row>
    <row r="1988" spans="1:7" ht="13.5">
      <c r="A1988" s="7">
        <v>1986</v>
      </c>
      <c r="B1988" s="8" t="str">
        <f>"2341202009031201091256"</f>
        <v>2341202009031201091256</v>
      </c>
      <c r="C1988" s="8" t="s">
        <v>10</v>
      </c>
      <c r="D1988" s="8" t="str">
        <f>"羊彩珠"</f>
        <v>羊彩珠</v>
      </c>
      <c r="E1988" s="8" t="str">
        <f t="shared" si="83"/>
        <v>女</v>
      </c>
      <c r="F1988" s="8" t="str">
        <f>"1992-10-07"</f>
        <v>1992-10-07</v>
      </c>
      <c r="G1988" s="9"/>
    </row>
    <row r="1989" spans="1:7" ht="13.5">
      <c r="A1989" s="7">
        <v>1987</v>
      </c>
      <c r="B1989" s="8" t="str">
        <f>"2341202009031210071258"</f>
        <v>2341202009031210071258</v>
      </c>
      <c r="C1989" s="8" t="s">
        <v>10</v>
      </c>
      <c r="D1989" s="8" t="str">
        <f>"彭夏芳"</f>
        <v>彭夏芳</v>
      </c>
      <c r="E1989" s="8" t="str">
        <f t="shared" si="83"/>
        <v>女</v>
      </c>
      <c r="F1989" s="8" t="str">
        <f>"1989-09-09"</f>
        <v>1989-09-09</v>
      </c>
      <c r="G1989" s="9"/>
    </row>
    <row r="1990" spans="1:7" ht="13.5">
      <c r="A1990" s="7">
        <v>1988</v>
      </c>
      <c r="B1990" s="8" t="str">
        <f>"2341202009031325011277"</f>
        <v>2341202009031325011277</v>
      </c>
      <c r="C1990" s="8" t="s">
        <v>10</v>
      </c>
      <c r="D1990" s="8" t="str">
        <f>"秦捷"</f>
        <v>秦捷</v>
      </c>
      <c r="E1990" s="8" t="str">
        <f t="shared" si="83"/>
        <v>女</v>
      </c>
      <c r="F1990" s="8" t="str">
        <f>"1991-04-27"</f>
        <v>1991-04-27</v>
      </c>
      <c r="G1990" s="9"/>
    </row>
    <row r="1991" spans="1:7" ht="13.5">
      <c r="A1991" s="7">
        <v>1989</v>
      </c>
      <c r="B1991" s="8" t="str">
        <f>"2341202009031400301282"</f>
        <v>2341202009031400301282</v>
      </c>
      <c r="C1991" s="8" t="s">
        <v>10</v>
      </c>
      <c r="D1991" s="8" t="str">
        <f>"王晓民"</f>
        <v>王晓民</v>
      </c>
      <c r="E1991" s="8" t="str">
        <f t="shared" si="83"/>
        <v>女</v>
      </c>
      <c r="F1991" s="8" t="str">
        <f>"1993-07-14"</f>
        <v>1993-07-14</v>
      </c>
      <c r="G1991" s="9"/>
    </row>
    <row r="1992" spans="1:7" ht="13.5">
      <c r="A1992" s="7">
        <v>1990</v>
      </c>
      <c r="B1992" s="8" t="str">
        <f>"2341202009031432491284"</f>
        <v>2341202009031432491284</v>
      </c>
      <c r="C1992" s="8" t="s">
        <v>10</v>
      </c>
      <c r="D1992" s="8" t="str">
        <f>"谭琼洋"</f>
        <v>谭琼洋</v>
      </c>
      <c r="E1992" s="8" t="str">
        <f t="shared" si="83"/>
        <v>女</v>
      </c>
      <c r="F1992" s="8" t="str">
        <f>"1997-11-18"</f>
        <v>1997-11-18</v>
      </c>
      <c r="G1992" s="9"/>
    </row>
    <row r="1993" spans="1:7" ht="13.5">
      <c r="A1993" s="7">
        <v>1991</v>
      </c>
      <c r="B1993" s="8" t="str">
        <f>"2341202009031437051285"</f>
        <v>2341202009031437051285</v>
      </c>
      <c r="C1993" s="8" t="s">
        <v>10</v>
      </c>
      <c r="D1993" s="8" t="str">
        <f>"谢景美"</f>
        <v>谢景美</v>
      </c>
      <c r="E1993" s="8" t="str">
        <f t="shared" si="83"/>
        <v>女</v>
      </c>
      <c r="F1993" s="8" t="str">
        <f>"1998-12-26"</f>
        <v>1998-12-26</v>
      </c>
      <c r="G1993" s="9"/>
    </row>
    <row r="1994" spans="1:7" ht="13.5">
      <c r="A1994" s="7">
        <v>1992</v>
      </c>
      <c r="B1994" s="8" t="str">
        <f>"2341202009031440561289"</f>
        <v>2341202009031440561289</v>
      </c>
      <c r="C1994" s="8" t="s">
        <v>10</v>
      </c>
      <c r="D1994" s="8" t="str">
        <f>"张国香"</f>
        <v>张国香</v>
      </c>
      <c r="E1994" s="8" t="str">
        <f t="shared" si="83"/>
        <v>女</v>
      </c>
      <c r="F1994" s="8" t="str">
        <f>"1986-12-05"</f>
        <v>1986-12-05</v>
      </c>
      <c r="G1994" s="9"/>
    </row>
    <row r="1995" spans="1:7" ht="13.5">
      <c r="A1995" s="7">
        <v>1993</v>
      </c>
      <c r="B1995" s="8" t="str">
        <f>"2341202009031530101296"</f>
        <v>2341202009031530101296</v>
      </c>
      <c r="C1995" s="8" t="s">
        <v>10</v>
      </c>
      <c r="D1995" s="8" t="str">
        <f>"何丽兰"</f>
        <v>何丽兰</v>
      </c>
      <c r="E1995" s="8" t="str">
        <f t="shared" si="83"/>
        <v>女</v>
      </c>
      <c r="F1995" s="8" t="str">
        <f>"19911126"</f>
        <v>19911126</v>
      </c>
      <c r="G1995" s="9"/>
    </row>
    <row r="1996" spans="1:7" ht="13.5">
      <c r="A1996" s="7">
        <v>1994</v>
      </c>
      <c r="B1996" s="8" t="str">
        <f>"2341202009031603001306"</f>
        <v>2341202009031603001306</v>
      </c>
      <c r="C1996" s="8" t="s">
        <v>10</v>
      </c>
      <c r="D1996" s="8" t="str">
        <f>"陈妮"</f>
        <v>陈妮</v>
      </c>
      <c r="E1996" s="8" t="str">
        <f t="shared" si="83"/>
        <v>女</v>
      </c>
      <c r="F1996" s="8" t="str">
        <f>"1997-04-20"</f>
        <v>1997-04-20</v>
      </c>
      <c r="G1996" s="9"/>
    </row>
    <row r="1997" spans="1:7" ht="13.5">
      <c r="A1997" s="7">
        <v>1995</v>
      </c>
      <c r="B1997" s="8" t="str">
        <f>"2341202009031614271311"</f>
        <v>2341202009031614271311</v>
      </c>
      <c r="C1997" s="8" t="s">
        <v>10</v>
      </c>
      <c r="D1997" s="8" t="str">
        <f>"杨育菁"</f>
        <v>杨育菁</v>
      </c>
      <c r="E1997" s="8" t="str">
        <f t="shared" si="83"/>
        <v>女</v>
      </c>
      <c r="F1997" s="8" t="str">
        <f>"1995-05-18"</f>
        <v>1995-05-18</v>
      </c>
      <c r="G1997" s="9"/>
    </row>
    <row r="1998" spans="1:7" ht="13.5">
      <c r="A1998" s="7">
        <v>1996</v>
      </c>
      <c r="B1998" s="8" t="str">
        <f>"2341202009031705251329"</f>
        <v>2341202009031705251329</v>
      </c>
      <c r="C1998" s="8" t="s">
        <v>10</v>
      </c>
      <c r="D1998" s="8" t="str">
        <f>"陈湘林"</f>
        <v>陈湘林</v>
      </c>
      <c r="E1998" s="8" t="str">
        <f>"男"</f>
        <v>男</v>
      </c>
      <c r="F1998" s="8" t="str">
        <f>"1993-11-01"</f>
        <v>1993-11-01</v>
      </c>
      <c r="G1998" s="9"/>
    </row>
    <row r="1999" spans="1:7" ht="13.5">
      <c r="A1999" s="7">
        <v>1997</v>
      </c>
      <c r="B1999" s="8" t="str">
        <f>"2341202009031711061330"</f>
        <v>2341202009031711061330</v>
      </c>
      <c r="C1999" s="8" t="s">
        <v>10</v>
      </c>
      <c r="D1999" s="8" t="str">
        <f>"孙嘉"</f>
        <v>孙嘉</v>
      </c>
      <c r="E1999" s="8" t="str">
        <f aca="true" t="shared" si="84" ref="E1999:E2030">"女"</f>
        <v>女</v>
      </c>
      <c r="F1999" s="8" t="str">
        <f>"1990-09-20"</f>
        <v>1990-09-20</v>
      </c>
      <c r="G1999" s="9"/>
    </row>
    <row r="2000" spans="1:7" ht="13.5">
      <c r="A2000" s="7">
        <v>1998</v>
      </c>
      <c r="B2000" s="8" t="str">
        <f>"2341202009031713551332"</f>
        <v>2341202009031713551332</v>
      </c>
      <c r="C2000" s="8" t="s">
        <v>10</v>
      </c>
      <c r="D2000" s="8" t="str">
        <f>"杨茗"</f>
        <v>杨茗</v>
      </c>
      <c r="E2000" s="8" t="str">
        <f t="shared" si="84"/>
        <v>女</v>
      </c>
      <c r="F2000" s="8" t="str">
        <f>"1998-01-21"</f>
        <v>1998-01-21</v>
      </c>
      <c r="G2000" s="9"/>
    </row>
    <row r="2001" spans="1:7" ht="13.5">
      <c r="A2001" s="7">
        <v>1999</v>
      </c>
      <c r="B2001" s="8" t="str">
        <f>"2341202009031722221336"</f>
        <v>2341202009031722221336</v>
      </c>
      <c r="C2001" s="8" t="s">
        <v>10</v>
      </c>
      <c r="D2001" s="8" t="str">
        <f>"张维"</f>
        <v>张维</v>
      </c>
      <c r="E2001" s="8" t="str">
        <f t="shared" si="84"/>
        <v>女</v>
      </c>
      <c r="F2001" s="8" t="str">
        <f>"1989-02-07"</f>
        <v>1989-02-07</v>
      </c>
      <c r="G2001" s="9"/>
    </row>
    <row r="2002" spans="1:7" ht="13.5">
      <c r="A2002" s="7">
        <v>2000</v>
      </c>
      <c r="B2002" s="8" t="str">
        <f>"2341202009031724571337"</f>
        <v>2341202009031724571337</v>
      </c>
      <c r="C2002" s="8" t="s">
        <v>10</v>
      </c>
      <c r="D2002" s="8" t="str">
        <f>"蔡蓉桢"</f>
        <v>蔡蓉桢</v>
      </c>
      <c r="E2002" s="8" t="str">
        <f t="shared" si="84"/>
        <v>女</v>
      </c>
      <c r="F2002" s="8" t="str">
        <f>"1996-08-24"</f>
        <v>1996-08-24</v>
      </c>
      <c r="G2002" s="9"/>
    </row>
    <row r="2003" spans="1:7" ht="13.5">
      <c r="A2003" s="7">
        <v>2001</v>
      </c>
      <c r="B2003" s="8" t="str">
        <f>"2341202009031726371338"</f>
        <v>2341202009031726371338</v>
      </c>
      <c r="C2003" s="8" t="s">
        <v>10</v>
      </c>
      <c r="D2003" s="8" t="str">
        <f>"彭璐"</f>
        <v>彭璐</v>
      </c>
      <c r="E2003" s="8" t="str">
        <f t="shared" si="84"/>
        <v>女</v>
      </c>
      <c r="F2003" s="8" t="str">
        <f>"1993-09-15"</f>
        <v>1993-09-15</v>
      </c>
      <c r="G2003" s="9"/>
    </row>
    <row r="2004" spans="1:7" ht="13.5">
      <c r="A2004" s="7">
        <v>2002</v>
      </c>
      <c r="B2004" s="8" t="str">
        <f>"2341202009031849371359"</f>
        <v>2341202009031849371359</v>
      </c>
      <c r="C2004" s="8" t="s">
        <v>10</v>
      </c>
      <c r="D2004" s="8" t="str">
        <f>"朱凌"</f>
        <v>朱凌</v>
      </c>
      <c r="E2004" s="8" t="str">
        <f t="shared" si="84"/>
        <v>女</v>
      </c>
      <c r="F2004" s="8" t="str">
        <f>"1985-01-06"</f>
        <v>1985-01-06</v>
      </c>
      <c r="G2004" s="9"/>
    </row>
    <row r="2005" spans="1:7" ht="13.5">
      <c r="A2005" s="7">
        <v>2003</v>
      </c>
      <c r="B2005" s="8" t="str">
        <f>"2341202009031853111361"</f>
        <v>2341202009031853111361</v>
      </c>
      <c r="C2005" s="8" t="s">
        <v>10</v>
      </c>
      <c r="D2005" s="8" t="str">
        <f>"黎丹慧"</f>
        <v>黎丹慧</v>
      </c>
      <c r="E2005" s="8" t="str">
        <f t="shared" si="84"/>
        <v>女</v>
      </c>
      <c r="F2005" s="8" t="str">
        <f>"1993-03-02"</f>
        <v>1993-03-02</v>
      </c>
      <c r="G2005" s="9"/>
    </row>
    <row r="2006" spans="1:7" ht="13.5">
      <c r="A2006" s="7">
        <v>2004</v>
      </c>
      <c r="B2006" s="8" t="str">
        <f>"2341202009031947591368"</f>
        <v>2341202009031947591368</v>
      </c>
      <c r="C2006" s="8" t="s">
        <v>10</v>
      </c>
      <c r="D2006" s="8" t="str">
        <f>"陈妹"</f>
        <v>陈妹</v>
      </c>
      <c r="E2006" s="8" t="str">
        <f t="shared" si="84"/>
        <v>女</v>
      </c>
      <c r="F2006" s="8" t="str">
        <f>"1993-02-04"</f>
        <v>1993-02-04</v>
      </c>
      <c r="G2006" s="9"/>
    </row>
    <row r="2007" spans="1:7" ht="13.5">
      <c r="A2007" s="7">
        <v>2005</v>
      </c>
      <c r="B2007" s="8" t="str">
        <f>"2341202009032020281377"</f>
        <v>2341202009032020281377</v>
      </c>
      <c r="C2007" s="8" t="s">
        <v>10</v>
      </c>
      <c r="D2007" s="8" t="str">
        <f>"莫春梅"</f>
        <v>莫春梅</v>
      </c>
      <c r="E2007" s="8" t="str">
        <f t="shared" si="84"/>
        <v>女</v>
      </c>
      <c r="F2007" s="8" t="str">
        <f>"1989-01-01"</f>
        <v>1989-01-01</v>
      </c>
      <c r="G2007" s="9"/>
    </row>
    <row r="2008" spans="1:7" ht="13.5">
      <c r="A2008" s="7">
        <v>2006</v>
      </c>
      <c r="B2008" s="8" t="str">
        <f>"2341202009032035481380"</f>
        <v>2341202009032035481380</v>
      </c>
      <c r="C2008" s="8" t="s">
        <v>10</v>
      </c>
      <c r="D2008" s="8" t="str">
        <f>"安洁"</f>
        <v>安洁</v>
      </c>
      <c r="E2008" s="8" t="str">
        <f t="shared" si="84"/>
        <v>女</v>
      </c>
      <c r="F2008" s="8" t="str">
        <f>"1996-02-08"</f>
        <v>1996-02-08</v>
      </c>
      <c r="G2008" s="9"/>
    </row>
    <row r="2009" spans="1:7" ht="13.5">
      <c r="A2009" s="7">
        <v>2007</v>
      </c>
      <c r="B2009" s="8" t="str">
        <f>"2341202009032046371384"</f>
        <v>2341202009032046371384</v>
      </c>
      <c r="C2009" s="8" t="s">
        <v>10</v>
      </c>
      <c r="D2009" s="8" t="str">
        <f>"蒋婉婷"</f>
        <v>蒋婉婷</v>
      </c>
      <c r="E2009" s="8" t="str">
        <f t="shared" si="84"/>
        <v>女</v>
      </c>
      <c r="F2009" s="8" t="str">
        <f>"1993-09-13"</f>
        <v>1993-09-13</v>
      </c>
      <c r="G2009" s="9"/>
    </row>
    <row r="2010" spans="1:7" ht="13.5">
      <c r="A2010" s="7">
        <v>2008</v>
      </c>
      <c r="B2010" s="8" t="str">
        <f>"2341202009032058211389"</f>
        <v>2341202009032058211389</v>
      </c>
      <c r="C2010" s="8" t="s">
        <v>10</v>
      </c>
      <c r="D2010" s="8" t="str">
        <f>"林小妹"</f>
        <v>林小妹</v>
      </c>
      <c r="E2010" s="8" t="str">
        <f t="shared" si="84"/>
        <v>女</v>
      </c>
      <c r="F2010" s="8" t="str">
        <f>"1993-04-04"</f>
        <v>1993-04-04</v>
      </c>
      <c r="G2010" s="9"/>
    </row>
    <row r="2011" spans="1:7" ht="13.5">
      <c r="A2011" s="7">
        <v>2009</v>
      </c>
      <c r="B2011" s="8" t="str">
        <f>"2341202009032155551407"</f>
        <v>2341202009032155551407</v>
      </c>
      <c r="C2011" s="8" t="s">
        <v>10</v>
      </c>
      <c r="D2011" s="8" t="str">
        <f>"董怡君"</f>
        <v>董怡君</v>
      </c>
      <c r="E2011" s="8" t="str">
        <f t="shared" si="84"/>
        <v>女</v>
      </c>
      <c r="F2011" s="8" t="str">
        <f>"1997-08-08"</f>
        <v>1997-08-08</v>
      </c>
      <c r="G2011" s="9"/>
    </row>
    <row r="2012" spans="1:7" ht="13.5">
      <c r="A2012" s="7">
        <v>2010</v>
      </c>
      <c r="B2012" s="8" t="str">
        <f>"2341202009032217051411"</f>
        <v>2341202009032217051411</v>
      </c>
      <c r="C2012" s="8" t="s">
        <v>10</v>
      </c>
      <c r="D2012" s="8" t="str">
        <f>"林井婷"</f>
        <v>林井婷</v>
      </c>
      <c r="E2012" s="8" t="str">
        <f t="shared" si="84"/>
        <v>女</v>
      </c>
      <c r="F2012" s="8" t="str">
        <f>"1997-03-20"</f>
        <v>1997-03-20</v>
      </c>
      <c r="G2012" s="9"/>
    </row>
    <row r="2013" spans="1:7" ht="13.5">
      <c r="A2013" s="7">
        <v>2011</v>
      </c>
      <c r="B2013" s="8" t="str">
        <f>"2341202009032248171419"</f>
        <v>2341202009032248171419</v>
      </c>
      <c r="C2013" s="8" t="s">
        <v>10</v>
      </c>
      <c r="D2013" s="8" t="str">
        <f>"蔡佼佼"</f>
        <v>蔡佼佼</v>
      </c>
      <c r="E2013" s="8" t="str">
        <f t="shared" si="84"/>
        <v>女</v>
      </c>
      <c r="F2013" s="8" t="str">
        <f>"1992-10-29"</f>
        <v>1992-10-29</v>
      </c>
      <c r="G2013" s="9"/>
    </row>
    <row r="2014" spans="1:7" ht="13.5">
      <c r="A2014" s="7">
        <v>2012</v>
      </c>
      <c r="B2014" s="8" t="str">
        <f>"2341202009032252241421"</f>
        <v>2341202009032252241421</v>
      </c>
      <c r="C2014" s="8" t="s">
        <v>10</v>
      </c>
      <c r="D2014" s="8" t="str">
        <f>"巩琳菲"</f>
        <v>巩琳菲</v>
      </c>
      <c r="E2014" s="8" t="str">
        <f t="shared" si="84"/>
        <v>女</v>
      </c>
      <c r="F2014" s="8" t="str">
        <f>"1997-03-12"</f>
        <v>1997-03-12</v>
      </c>
      <c r="G2014" s="9"/>
    </row>
    <row r="2015" spans="1:7" ht="13.5">
      <c r="A2015" s="7">
        <v>2013</v>
      </c>
      <c r="B2015" s="8" t="str">
        <f>"2341202009032341371428"</f>
        <v>2341202009032341371428</v>
      </c>
      <c r="C2015" s="8" t="s">
        <v>10</v>
      </c>
      <c r="D2015" s="8" t="str">
        <f>"吴坤柳"</f>
        <v>吴坤柳</v>
      </c>
      <c r="E2015" s="8" t="str">
        <f t="shared" si="84"/>
        <v>女</v>
      </c>
      <c r="F2015" s="8" t="str">
        <f>"1996-06-23"</f>
        <v>1996-06-23</v>
      </c>
      <c r="G2015" s="9"/>
    </row>
    <row r="2016" spans="1:7" ht="13.5">
      <c r="A2016" s="7">
        <v>2014</v>
      </c>
      <c r="B2016" s="8" t="str">
        <f>"2341202009040139261433"</f>
        <v>2341202009040139261433</v>
      </c>
      <c r="C2016" s="8" t="s">
        <v>10</v>
      </c>
      <c r="D2016" s="8" t="str">
        <f>"林丽娥"</f>
        <v>林丽娥</v>
      </c>
      <c r="E2016" s="8" t="str">
        <f t="shared" si="84"/>
        <v>女</v>
      </c>
      <c r="F2016" s="8" t="str">
        <f>"1998-05-16"</f>
        <v>1998-05-16</v>
      </c>
      <c r="G2016" s="9"/>
    </row>
    <row r="2017" spans="1:7" ht="13.5">
      <c r="A2017" s="7">
        <v>2015</v>
      </c>
      <c r="B2017" s="8" t="str">
        <f>"2341202009040944211445"</f>
        <v>2341202009040944211445</v>
      </c>
      <c r="C2017" s="8" t="s">
        <v>10</v>
      </c>
      <c r="D2017" s="8" t="str">
        <f>"柴源"</f>
        <v>柴源</v>
      </c>
      <c r="E2017" s="8" t="str">
        <f t="shared" si="84"/>
        <v>女</v>
      </c>
      <c r="F2017" s="8" t="str">
        <f>"1993-10-24"</f>
        <v>1993-10-24</v>
      </c>
      <c r="G2017" s="9"/>
    </row>
    <row r="2018" spans="1:7" ht="13.5">
      <c r="A2018" s="7">
        <v>2016</v>
      </c>
      <c r="B2018" s="8" t="str">
        <f>"2341202009040946061446"</f>
        <v>2341202009040946061446</v>
      </c>
      <c r="C2018" s="8" t="s">
        <v>10</v>
      </c>
      <c r="D2018" s="8" t="str">
        <f>"陆国欣"</f>
        <v>陆国欣</v>
      </c>
      <c r="E2018" s="8" t="str">
        <f t="shared" si="84"/>
        <v>女</v>
      </c>
      <c r="F2018" s="8" t="str">
        <f>"1997-04-16"</f>
        <v>1997-04-16</v>
      </c>
      <c r="G2018" s="9"/>
    </row>
    <row r="2019" spans="1:7" ht="13.5">
      <c r="A2019" s="7">
        <v>2017</v>
      </c>
      <c r="B2019" s="8" t="str">
        <f>"2341202009041055151469"</f>
        <v>2341202009041055151469</v>
      </c>
      <c r="C2019" s="8" t="s">
        <v>10</v>
      </c>
      <c r="D2019" s="8" t="str">
        <f>"陈彩云"</f>
        <v>陈彩云</v>
      </c>
      <c r="E2019" s="8" t="str">
        <f t="shared" si="84"/>
        <v>女</v>
      </c>
      <c r="F2019" s="8" t="str">
        <f>"1996-08-04"</f>
        <v>1996-08-04</v>
      </c>
      <c r="G2019" s="9"/>
    </row>
    <row r="2020" spans="1:7" ht="13.5">
      <c r="A2020" s="7">
        <v>2018</v>
      </c>
      <c r="B2020" s="8" t="str">
        <f>"2341202009041106581471"</f>
        <v>2341202009041106581471</v>
      </c>
      <c r="C2020" s="8" t="s">
        <v>10</v>
      </c>
      <c r="D2020" s="8" t="str">
        <f>"林苗苗"</f>
        <v>林苗苗</v>
      </c>
      <c r="E2020" s="8" t="str">
        <f t="shared" si="84"/>
        <v>女</v>
      </c>
      <c r="F2020" s="8" t="str">
        <f>"1997-02-08"</f>
        <v>1997-02-08</v>
      </c>
      <c r="G2020" s="9"/>
    </row>
    <row r="2021" spans="1:7" ht="13.5">
      <c r="A2021" s="7">
        <v>2019</v>
      </c>
      <c r="B2021" s="8" t="str">
        <f>"2341202009041131271479"</f>
        <v>2341202009041131271479</v>
      </c>
      <c r="C2021" s="8" t="s">
        <v>10</v>
      </c>
      <c r="D2021" s="8" t="str">
        <f>"金海心"</f>
        <v>金海心</v>
      </c>
      <c r="E2021" s="8" t="str">
        <f t="shared" si="84"/>
        <v>女</v>
      </c>
      <c r="F2021" s="8" t="str">
        <f>"1989-02-22"</f>
        <v>1989-02-22</v>
      </c>
      <c r="G2021" s="9"/>
    </row>
    <row r="2022" spans="1:7" ht="13.5">
      <c r="A2022" s="7">
        <v>2020</v>
      </c>
      <c r="B2022" s="8" t="str">
        <f>"2341202009041136121480"</f>
        <v>2341202009041136121480</v>
      </c>
      <c r="C2022" s="8" t="s">
        <v>10</v>
      </c>
      <c r="D2022" s="8" t="str">
        <f>"李佳佳"</f>
        <v>李佳佳</v>
      </c>
      <c r="E2022" s="8" t="str">
        <f t="shared" si="84"/>
        <v>女</v>
      </c>
      <c r="F2022" s="8" t="str">
        <f>"1998-01-04"</f>
        <v>1998-01-04</v>
      </c>
      <c r="G2022" s="9"/>
    </row>
    <row r="2023" spans="1:7" ht="13.5">
      <c r="A2023" s="7">
        <v>2021</v>
      </c>
      <c r="B2023" s="8" t="str">
        <f>"2341202009041424031498"</f>
        <v>2341202009041424031498</v>
      </c>
      <c r="C2023" s="8" t="s">
        <v>10</v>
      </c>
      <c r="D2023" s="8" t="str">
        <f>"王清丽"</f>
        <v>王清丽</v>
      </c>
      <c r="E2023" s="8" t="str">
        <f t="shared" si="84"/>
        <v>女</v>
      </c>
      <c r="F2023" s="8" t="str">
        <f>"1995-04-27"</f>
        <v>1995-04-27</v>
      </c>
      <c r="G2023" s="9"/>
    </row>
    <row r="2024" spans="1:7" ht="13.5">
      <c r="A2024" s="7">
        <v>2022</v>
      </c>
      <c r="B2024" s="8" t="str">
        <f>"2341202009041507061512"</f>
        <v>2341202009041507061512</v>
      </c>
      <c r="C2024" s="8" t="s">
        <v>10</v>
      </c>
      <c r="D2024" s="8" t="str">
        <f>"吴慧芳"</f>
        <v>吴慧芳</v>
      </c>
      <c r="E2024" s="8" t="str">
        <f t="shared" si="84"/>
        <v>女</v>
      </c>
      <c r="F2024" s="8" t="str">
        <f>"1994-02-22"</f>
        <v>1994-02-22</v>
      </c>
      <c r="G2024" s="9"/>
    </row>
    <row r="2025" spans="1:7" ht="13.5">
      <c r="A2025" s="7">
        <v>2023</v>
      </c>
      <c r="B2025" s="8" t="str">
        <f>"2341202009041509461513"</f>
        <v>2341202009041509461513</v>
      </c>
      <c r="C2025" s="8" t="s">
        <v>10</v>
      </c>
      <c r="D2025" s="8" t="str">
        <f>"何婧怡"</f>
        <v>何婧怡</v>
      </c>
      <c r="E2025" s="8" t="str">
        <f t="shared" si="84"/>
        <v>女</v>
      </c>
      <c r="F2025" s="8" t="str">
        <f>"1996-08-05"</f>
        <v>1996-08-05</v>
      </c>
      <c r="G2025" s="9"/>
    </row>
    <row r="2026" spans="1:7" ht="13.5">
      <c r="A2026" s="7">
        <v>2024</v>
      </c>
      <c r="B2026" s="8" t="str">
        <f>"2341202009041509591514"</f>
        <v>2341202009041509591514</v>
      </c>
      <c r="C2026" s="8" t="s">
        <v>10</v>
      </c>
      <c r="D2026" s="8" t="str">
        <f>"章丁洁"</f>
        <v>章丁洁</v>
      </c>
      <c r="E2026" s="8" t="str">
        <f t="shared" si="84"/>
        <v>女</v>
      </c>
      <c r="F2026" s="8" t="str">
        <f>"1997-03-04"</f>
        <v>1997-03-04</v>
      </c>
      <c r="G2026" s="9"/>
    </row>
    <row r="2027" spans="1:7" ht="13.5">
      <c r="A2027" s="7">
        <v>2025</v>
      </c>
      <c r="B2027" s="8" t="str">
        <f>"2341202009041527291522"</f>
        <v>2341202009041527291522</v>
      </c>
      <c r="C2027" s="8" t="s">
        <v>10</v>
      </c>
      <c r="D2027" s="8" t="str">
        <f>"邢维娜"</f>
        <v>邢维娜</v>
      </c>
      <c r="E2027" s="8" t="str">
        <f t="shared" si="84"/>
        <v>女</v>
      </c>
      <c r="F2027" s="8" t="str">
        <f>"1995-10-15"</f>
        <v>1995-10-15</v>
      </c>
      <c r="G2027" s="9"/>
    </row>
    <row r="2028" spans="1:7" ht="13.5">
      <c r="A2028" s="7">
        <v>2026</v>
      </c>
      <c r="B2028" s="8" t="str">
        <f>"2341202009041658131536"</f>
        <v>2341202009041658131536</v>
      </c>
      <c r="C2028" s="8" t="s">
        <v>10</v>
      </c>
      <c r="D2028" s="8" t="str">
        <f>"庄乔云"</f>
        <v>庄乔云</v>
      </c>
      <c r="E2028" s="8" t="str">
        <f t="shared" si="84"/>
        <v>女</v>
      </c>
      <c r="F2028" s="8" t="str">
        <f>"1998-05-20"</f>
        <v>1998-05-20</v>
      </c>
      <c r="G2028" s="9"/>
    </row>
    <row r="2029" spans="1:7" ht="13.5">
      <c r="A2029" s="7">
        <v>2027</v>
      </c>
      <c r="B2029" s="8" t="str">
        <f>"2341202009041758251549"</f>
        <v>2341202009041758251549</v>
      </c>
      <c r="C2029" s="8" t="s">
        <v>10</v>
      </c>
      <c r="D2029" s="8" t="str">
        <f>"王妃"</f>
        <v>王妃</v>
      </c>
      <c r="E2029" s="8" t="str">
        <f t="shared" si="84"/>
        <v>女</v>
      </c>
      <c r="F2029" s="8" t="str">
        <f>"1997-08-16"</f>
        <v>1997-08-16</v>
      </c>
      <c r="G2029" s="9"/>
    </row>
    <row r="2030" spans="1:7" ht="13.5">
      <c r="A2030" s="7">
        <v>2028</v>
      </c>
      <c r="B2030" s="8" t="str">
        <f>"2341202009041849061557"</f>
        <v>2341202009041849061557</v>
      </c>
      <c r="C2030" s="8" t="s">
        <v>10</v>
      </c>
      <c r="D2030" s="8" t="str">
        <f>"陈雅姿"</f>
        <v>陈雅姿</v>
      </c>
      <c r="E2030" s="8" t="str">
        <f t="shared" si="84"/>
        <v>女</v>
      </c>
      <c r="F2030" s="8" t="str">
        <f>"1999-03-25"</f>
        <v>1999-03-25</v>
      </c>
      <c r="G2030" s="9"/>
    </row>
    <row r="2031" spans="1:7" ht="13.5">
      <c r="A2031" s="7">
        <v>2029</v>
      </c>
      <c r="B2031" s="8" t="str">
        <f>"2341202009041932421560"</f>
        <v>2341202009041932421560</v>
      </c>
      <c r="C2031" s="8" t="s">
        <v>10</v>
      </c>
      <c r="D2031" s="8" t="str">
        <f>"罗莉莎"</f>
        <v>罗莉莎</v>
      </c>
      <c r="E2031" s="8" t="str">
        <f aca="true" t="shared" si="85" ref="E2031:E2062">"女"</f>
        <v>女</v>
      </c>
      <c r="F2031" s="8" t="str">
        <f>"1986-11-05"</f>
        <v>1986-11-05</v>
      </c>
      <c r="G2031" s="9"/>
    </row>
    <row r="2032" spans="1:7" ht="13.5">
      <c r="A2032" s="7">
        <v>2030</v>
      </c>
      <c r="B2032" s="8" t="str">
        <f>"2341202009042048411572"</f>
        <v>2341202009042048411572</v>
      </c>
      <c r="C2032" s="8" t="s">
        <v>10</v>
      </c>
      <c r="D2032" s="8" t="str">
        <f>"羊引花"</f>
        <v>羊引花</v>
      </c>
      <c r="E2032" s="8" t="str">
        <f t="shared" si="85"/>
        <v>女</v>
      </c>
      <c r="F2032" s="8" t="str">
        <f>"1996-03-03"</f>
        <v>1996-03-03</v>
      </c>
      <c r="G2032" s="9"/>
    </row>
    <row r="2033" spans="1:7" ht="13.5">
      <c r="A2033" s="7">
        <v>2031</v>
      </c>
      <c r="B2033" s="8" t="str">
        <f>"2341202009042132131584"</f>
        <v>2341202009042132131584</v>
      </c>
      <c r="C2033" s="8" t="s">
        <v>10</v>
      </c>
      <c r="D2033" s="8" t="str">
        <f>"简美娥"</f>
        <v>简美娥</v>
      </c>
      <c r="E2033" s="8" t="str">
        <f t="shared" si="85"/>
        <v>女</v>
      </c>
      <c r="F2033" s="8" t="str">
        <f>"1995-08-12"</f>
        <v>1995-08-12</v>
      </c>
      <c r="G2033" s="9"/>
    </row>
    <row r="2034" spans="1:7" ht="13.5">
      <c r="A2034" s="7">
        <v>2032</v>
      </c>
      <c r="B2034" s="8" t="str">
        <f>"2341202009042132391585"</f>
        <v>2341202009042132391585</v>
      </c>
      <c r="C2034" s="8" t="s">
        <v>10</v>
      </c>
      <c r="D2034" s="8" t="str">
        <f>"苏云珍"</f>
        <v>苏云珍</v>
      </c>
      <c r="E2034" s="8" t="str">
        <f t="shared" si="85"/>
        <v>女</v>
      </c>
      <c r="F2034" s="8" t="str">
        <f>"1995-03-04"</f>
        <v>1995-03-04</v>
      </c>
      <c r="G2034" s="9"/>
    </row>
    <row r="2035" spans="1:7" ht="13.5">
      <c r="A2035" s="7">
        <v>2033</v>
      </c>
      <c r="B2035" s="8" t="str">
        <f>"2341202009042229191597"</f>
        <v>2341202009042229191597</v>
      </c>
      <c r="C2035" s="8" t="s">
        <v>10</v>
      </c>
      <c r="D2035" s="8" t="str">
        <f>"陈秀萍"</f>
        <v>陈秀萍</v>
      </c>
      <c r="E2035" s="8" t="str">
        <f t="shared" si="85"/>
        <v>女</v>
      </c>
      <c r="F2035" s="8" t="str">
        <f>"1995-11-21"</f>
        <v>1995-11-21</v>
      </c>
      <c r="G2035" s="9"/>
    </row>
    <row r="2036" spans="1:7" ht="13.5">
      <c r="A2036" s="7">
        <v>2034</v>
      </c>
      <c r="B2036" s="8" t="str">
        <f>"2341202009042230061598"</f>
        <v>2341202009042230061598</v>
      </c>
      <c r="C2036" s="8" t="s">
        <v>10</v>
      </c>
      <c r="D2036" s="8" t="str">
        <f>"苏桂兰"</f>
        <v>苏桂兰</v>
      </c>
      <c r="E2036" s="8" t="str">
        <f t="shared" si="85"/>
        <v>女</v>
      </c>
      <c r="F2036" s="8" t="str">
        <f>"1997-10-11"</f>
        <v>1997-10-11</v>
      </c>
      <c r="G2036" s="9"/>
    </row>
    <row r="2037" spans="1:7" ht="13.5">
      <c r="A2037" s="7">
        <v>2035</v>
      </c>
      <c r="B2037" s="8" t="str">
        <f>"2341202009042306131605"</f>
        <v>2341202009042306131605</v>
      </c>
      <c r="C2037" s="8" t="s">
        <v>10</v>
      </c>
      <c r="D2037" s="8" t="str">
        <f>"陈益敏"</f>
        <v>陈益敏</v>
      </c>
      <c r="E2037" s="8" t="str">
        <f t="shared" si="85"/>
        <v>女</v>
      </c>
      <c r="F2037" s="8" t="str">
        <f>"1995-07-06"</f>
        <v>1995-07-06</v>
      </c>
      <c r="G2037" s="9"/>
    </row>
    <row r="2038" spans="1:7" ht="13.5">
      <c r="A2038" s="7">
        <v>2036</v>
      </c>
      <c r="B2038" s="8" t="str">
        <f>"2341202009042308401606"</f>
        <v>2341202009042308401606</v>
      </c>
      <c r="C2038" s="8" t="s">
        <v>10</v>
      </c>
      <c r="D2038" s="8" t="str">
        <f>"林宏艳"</f>
        <v>林宏艳</v>
      </c>
      <c r="E2038" s="8" t="str">
        <f t="shared" si="85"/>
        <v>女</v>
      </c>
      <c r="F2038" s="8" t="str">
        <f>"1996-04-28"</f>
        <v>1996-04-28</v>
      </c>
      <c r="G2038" s="9"/>
    </row>
    <row r="2039" spans="1:7" ht="13.5">
      <c r="A2039" s="7">
        <v>2037</v>
      </c>
      <c r="B2039" s="8" t="str">
        <f>"2341202009051004181622"</f>
        <v>2341202009051004181622</v>
      </c>
      <c r="C2039" s="8" t="s">
        <v>10</v>
      </c>
      <c r="D2039" s="8" t="str">
        <f>"杨万星"</f>
        <v>杨万星</v>
      </c>
      <c r="E2039" s="8" t="str">
        <f t="shared" si="85"/>
        <v>女</v>
      </c>
      <c r="F2039" s="8" t="str">
        <f>"1993-01-02"</f>
        <v>1993-01-02</v>
      </c>
      <c r="G2039" s="9"/>
    </row>
    <row r="2040" spans="1:7" ht="13.5">
      <c r="A2040" s="7">
        <v>2038</v>
      </c>
      <c r="B2040" s="8" t="str">
        <f>"2341202009051037041629"</f>
        <v>2341202009051037041629</v>
      </c>
      <c r="C2040" s="8" t="s">
        <v>10</v>
      </c>
      <c r="D2040" s="8" t="str">
        <f>"杨宪婷"</f>
        <v>杨宪婷</v>
      </c>
      <c r="E2040" s="8" t="str">
        <f t="shared" si="85"/>
        <v>女</v>
      </c>
      <c r="F2040" s="8" t="str">
        <f>"1990-10-31"</f>
        <v>1990-10-31</v>
      </c>
      <c r="G2040" s="9"/>
    </row>
    <row r="2041" spans="1:7" ht="13.5">
      <c r="A2041" s="7">
        <v>2039</v>
      </c>
      <c r="B2041" s="8" t="str">
        <f>"2341202009051043511632"</f>
        <v>2341202009051043511632</v>
      </c>
      <c r="C2041" s="8" t="s">
        <v>10</v>
      </c>
      <c r="D2041" s="8" t="str">
        <f>"许妍"</f>
        <v>许妍</v>
      </c>
      <c r="E2041" s="8" t="str">
        <f t="shared" si="85"/>
        <v>女</v>
      </c>
      <c r="F2041" s="8" t="str">
        <f>"1987-01-24"</f>
        <v>1987-01-24</v>
      </c>
      <c r="G2041" s="9"/>
    </row>
    <row r="2042" spans="1:7" ht="13.5">
      <c r="A2042" s="7">
        <v>2040</v>
      </c>
      <c r="B2042" s="8" t="str">
        <f>"2341202009051122591640"</f>
        <v>2341202009051122591640</v>
      </c>
      <c r="C2042" s="8" t="s">
        <v>10</v>
      </c>
      <c r="D2042" s="8" t="str">
        <f>"王堂棉"</f>
        <v>王堂棉</v>
      </c>
      <c r="E2042" s="8" t="str">
        <f t="shared" si="85"/>
        <v>女</v>
      </c>
      <c r="F2042" s="8" t="str">
        <f>"1997-03-15"</f>
        <v>1997-03-15</v>
      </c>
      <c r="G2042" s="9"/>
    </row>
    <row r="2043" spans="1:7" ht="13.5">
      <c r="A2043" s="7">
        <v>2041</v>
      </c>
      <c r="B2043" s="8" t="str">
        <f>"2341202009051146521644"</f>
        <v>2341202009051146521644</v>
      </c>
      <c r="C2043" s="8" t="s">
        <v>10</v>
      </c>
      <c r="D2043" s="8" t="str">
        <f>"李金霞"</f>
        <v>李金霞</v>
      </c>
      <c r="E2043" s="8" t="str">
        <f t="shared" si="85"/>
        <v>女</v>
      </c>
      <c r="F2043" s="8" t="str">
        <f>"1994-07-27"</f>
        <v>1994-07-27</v>
      </c>
      <c r="G2043" s="9"/>
    </row>
    <row r="2044" spans="1:7" ht="13.5">
      <c r="A2044" s="7">
        <v>2042</v>
      </c>
      <c r="B2044" s="8" t="str">
        <f>"2341202009051248541652"</f>
        <v>2341202009051248541652</v>
      </c>
      <c r="C2044" s="8" t="s">
        <v>10</v>
      </c>
      <c r="D2044" s="8" t="str">
        <f>"郑岚尹"</f>
        <v>郑岚尹</v>
      </c>
      <c r="E2044" s="8" t="str">
        <f t="shared" si="85"/>
        <v>女</v>
      </c>
      <c r="F2044" s="8" t="str">
        <f>"1998-06-22"</f>
        <v>1998-06-22</v>
      </c>
      <c r="G2044" s="9"/>
    </row>
    <row r="2045" spans="1:7" ht="13.5">
      <c r="A2045" s="7">
        <v>2043</v>
      </c>
      <c r="B2045" s="8" t="str">
        <f>"2341202009051636201683"</f>
        <v>2341202009051636201683</v>
      </c>
      <c r="C2045" s="8" t="s">
        <v>10</v>
      </c>
      <c r="D2045" s="8" t="str">
        <f>"赵健婷"</f>
        <v>赵健婷</v>
      </c>
      <c r="E2045" s="8" t="str">
        <f t="shared" si="85"/>
        <v>女</v>
      </c>
      <c r="F2045" s="8" t="str">
        <f>"1994-08-02"</f>
        <v>1994-08-02</v>
      </c>
      <c r="G2045" s="9"/>
    </row>
    <row r="2046" spans="1:7" ht="13.5">
      <c r="A2046" s="7">
        <v>2044</v>
      </c>
      <c r="B2046" s="8" t="str">
        <f>"2341202009051642051684"</f>
        <v>2341202009051642051684</v>
      </c>
      <c r="C2046" s="8" t="s">
        <v>10</v>
      </c>
      <c r="D2046" s="8" t="str">
        <f>"陈丽萍"</f>
        <v>陈丽萍</v>
      </c>
      <c r="E2046" s="8" t="str">
        <f t="shared" si="85"/>
        <v>女</v>
      </c>
      <c r="F2046" s="8" t="str">
        <f>"1990-10-25"</f>
        <v>1990-10-25</v>
      </c>
      <c r="G2046" s="9"/>
    </row>
    <row r="2047" spans="1:7" ht="13.5">
      <c r="A2047" s="7">
        <v>2045</v>
      </c>
      <c r="B2047" s="8" t="str">
        <f>"2341202009051642411685"</f>
        <v>2341202009051642411685</v>
      </c>
      <c r="C2047" s="8" t="s">
        <v>10</v>
      </c>
      <c r="D2047" s="8" t="str">
        <f>"谭惠中"</f>
        <v>谭惠中</v>
      </c>
      <c r="E2047" s="8" t="str">
        <f t="shared" si="85"/>
        <v>女</v>
      </c>
      <c r="F2047" s="8" t="str">
        <f>"1996-12-22"</f>
        <v>1996-12-22</v>
      </c>
      <c r="G2047" s="9"/>
    </row>
    <row r="2048" spans="1:7" ht="13.5">
      <c r="A2048" s="7">
        <v>2046</v>
      </c>
      <c r="B2048" s="8" t="str">
        <f>"2341202009051659541691"</f>
        <v>2341202009051659541691</v>
      </c>
      <c r="C2048" s="8" t="s">
        <v>10</v>
      </c>
      <c r="D2048" s="8" t="str">
        <f>"符礼娜"</f>
        <v>符礼娜</v>
      </c>
      <c r="E2048" s="8" t="str">
        <f t="shared" si="85"/>
        <v>女</v>
      </c>
      <c r="F2048" s="8" t="str">
        <f>"1996-10-21"</f>
        <v>1996-10-21</v>
      </c>
      <c r="G2048" s="9"/>
    </row>
    <row r="2049" spans="1:7" ht="13.5">
      <c r="A2049" s="7">
        <v>2047</v>
      </c>
      <c r="B2049" s="8" t="str">
        <f>"2341202009051721231694"</f>
        <v>2341202009051721231694</v>
      </c>
      <c r="C2049" s="8" t="s">
        <v>10</v>
      </c>
      <c r="D2049" s="8" t="str">
        <f>"蔡美彩"</f>
        <v>蔡美彩</v>
      </c>
      <c r="E2049" s="8" t="str">
        <f t="shared" si="85"/>
        <v>女</v>
      </c>
      <c r="F2049" s="8" t="str">
        <f>"1995-08-18"</f>
        <v>1995-08-18</v>
      </c>
      <c r="G2049" s="9"/>
    </row>
    <row r="2050" spans="1:7" ht="13.5">
      <c r="A2050" s="7">
        <v>2048</v>
      </c>
      <c r="B2050" s="8" t="str">
        <f>"2341202009051721561695"</f>
        <v>2341202009051721561695</v>
      </c>
      <c r="C2050" s="8" t="s">
        <v>10</v>
      </c>
      <c r="D2050" s="8" t="str">
        <f>"谢慧芬"</f>
        <v>谢慧芬</v>
      </c>
      <c r="E2050" s="8" t="str">
        <f t="shared" si="85"/>
        <v>女</v>
      </c>
      <c r="F2050" s="8" t="str">
        <f>"1990-08-10"</f>
        <v>1990-08-10</v>
      </c>
      <c r="G2050" s="9"/>
    </row>
    <row r="2051" spans="1:7" ht="13.5">
      <c r="A2051" s="7">
        <v>2049</v>
      </c>
      <c r="B2051" s="8" t="str">
        <f>"2341202009051730351697"</f>
        <v>2341202009051730351697</v>
      </c>
      <c r="C2051" s="8" t="s">
        <v>10</v>
      </c>
      <c r="D2051" s="8" t="str">
        <f>"张璇"</f>
        <v>张璇</v>
      </c>
      <c r="E2051" s="8" t="str">
        <f t="shared" si="85"/>
        <v>女</v>
      </c>
      <c r="F2051" s="8" t="str">
        <f>"1996-01-20"</f>
        <v>1996-01-20</v>
      </c>
      <c r="G2051" s="9"/>
    </row>
    <row r="2052" spans="1:7" ht="13.5">
      <c r="A2052" s="7">
        <v>2050</v>
      </c>
      <c r="B2052" s="8" t="str">
        <f>"2341202009051731011698"</f>
        <v>2341202009051731011698</v>
      </c>
      <c r="C2052" s="8" t="s">
        <v>10</v>
      </c>
      <c r="D2052" s="8" t="str">
        <f>"韦伊敏"</f>
        <v>韦伊敏</v>
      </c>
      <c r="E2052" s="8" t="str">
        <f t="shared" si="85"/>
        <v>女</v>
      </c>
      <c r="F2052" s="8" t="str">
        <f>"1992-11-20"</f>
        <v>1992-11-20</v>
      </c>
      <c r="G2052" s="9"/>
    </row>
    <row r="2053" spans="1:7" ht="13.5">
      <c r="A2053" s="7">
        <v>2051</v>
      </c>
      <c r="B2053" s="8" t="str">
        <f>"2341202009051913551710"</f>
        <v>2341202009051913551710</v>
      </c>
      <c r="C2053" s="8" t="s">
        <v>10</v>
      </c>
      <c r="D2053" s="8" t="str">
        <f>"曾琪"</f>
        <v>曾琪</v>
      </c>
      <c r="E2053" s="8" t="str">
        <f t="shared" si="85"/>
        <v>女</v>
      </c>
      <c r="F2053" s="8" t="str">
        <f>"1987-02-09"</f>
        <v>1987-02-09</v>
      </c>
      <c r="G2053" s="9"/>
    </row>
    <row r="2054" spans="1:7" ht="13.5">
      <c r="A2054" s="7">
        <v>2052</v>
      </c>
      <c r="B2054" s="8" t="str">
        <f>"2341202009051927271711"</f>
        <v>2341202009051927271711</v>
      </c>
      <c r="C2054" s="8" t="s">
        <v>10</v>
      </c>
      <c r="D2054" s="8" t="str">
        <f>"杨鸿婷"</f>
        <v>杨鸿婷</v>
      </c>
      <c r="E2054" s="8" t="str">
        <f t="shared" si="85"/>
        <v>女</v>
      </c>
      <c r="F2054" s="8" t="str">
        <f>"1990-01-21"</f>
        <v>1990-01-21</v>
      </c>
      <c r="G2054" s="9"/>
    </row>
    <row r="2055" spans="1:7" ht="13.5">
      <c r="A2055" s="7">
        <v>2053</v>
      </c>
      <c r="B2055" s="8" t="str">
        <f>"2341202009051949491715"</f>
        <v>2341202009051949491715</v>
      </c>
      <c r="C2055" s="8" t="s">
        <v>10</v>
      </c>
      <c r="D2055" s="8" t="str">
        <f>"曾丽丽"</f>
        <v>曾丽丽</v>
      </c>
      <c r="E2055" s="8" t="str">
        <f t="shared" si="85"/>
        <v>女</v>
      </c>
      <c r="F2055" s="8" t="str">
        <f>"1995-02-01"</f>
        <v>1995-02-01</v>
      </c>
      <c r="G2055" s="9"/>
    </row>
    <row r="2056" spans="1:7" ht="13.5">
      <c r="A2056" s="7">
        <v>2054</v>
      </c>
      <c r="B2056" s="8" t="str">
        <f>"2341202009051954381716"</f>
        <v>2341202009051954381716</v>
      </c>
      <c r="C2056" s="8" t="s">
        <v>10</v>
      </c>
      <c r="D2056" s="8" t="str">
        <f>"黄慧可"</f>
        <v>黄慧可</v>
      </c>
      <c r="E2056" s="8" t="str">
        <f t="shared" si="85"/>
        <v>女</v>
      </c>
      <c r="F2056" s="8" t="str">
        <f>"1992-01-20"</f>
        <v>1992-01-20</v>
      </c>
      <c r="G2056" s="9"/>
    </row>
    <row r="2057" spans="1:7" ht="13.5">
      <c r="A2057" s="7">
        <v>2055</v>
      </c>
      <c r="B2057" s="8" t="str">
        <f>"2341202009052124591730"</f>
        <v>2341202009052124591730</v>
      </c>
      <c r="C2057" s="8" t="s">
        <v>10</v>
      </c>
      <c r="D2057" s="8" t="str">
        <f>"张丽"</f>
        <v>张丽</v>
      </c>
      <c r="E2057" s="8" t="str">
        <f t="shared" si="85"/>
        <v>女</v>
      </c>
      <c r="F2057" s="8" t="str">
        <f>"1992-10-05"</f>
        <v>1992-10-05</v>
      </c>
      <c r="G2057" s="9"/>
    </row>
    <row r="2058" spans="1:7" ht="13.5">
      <c r="A2058" s="7">
        <v>2056</v>
      </c>
      <c r="B2058" s="8" t="str">
        <f>"2341202009052134451731"</f>
        <v>2341202009052134451731</v>
      </c>
      <c r="C2058" s="8" t="s">
        <v>10</v>
      </c>
      <c r="D2058" s="8" t="str">
        <f>"林顺"</f>
        <v>林顺</v>
      </c>
      <c r="E2058" s="8" t="str">
        <f t="shared" si="85"/>
        <v>女</v>
      </c>
      <c r="F2058" s="8" t="str">
        <f>"1990-01-20"</f>
        <v>1990-01-20</v>
      </c>
      <c r="G2058" s="9"/>
    </row>
    <row r="2059" spans="1:7" ht="13.5">
      <c r="A2059" s="7">
        <v>2057</v>
      </c>
      <c r="B2059" s="8" t="str">
        <f>"2341202009052212531737"</f>
        <v>2341202009052212531737</v>
      </c>
      <c r="C2059" s="8" t="s">
        <v>10</v>
      </c>
      <c r="D2059" s="8" t="str">
        <f>"方俪颖"</f>
        <v>方俪颖</v>
      </c>
      <c r="E2059" s="8" t="str">
        <f t="shared" si="85"/>
        <v>女</v>
      </c>
      <c r="F2059" s="8" t="str">
        <f>"1996-01-08"</f>
        <v>1996-01-08</v>
      </c>
      <c r="G2059" s="9"/>
    </row>
    <row r="2060" spans="1:7" ht="13.5">
      <c r="A2060" s="7">
        <v>2058</v>
      </c>
      <c r="B2060" s="8" t="str">
        <f>"2341202009052230351739"</f>
        <v>2341202009052230351739</v>
      </c>
      <c r="C2060" s="8" t="s">
        <v>10</v>
      </c>
      <c r="D2060" s="8" t="str">
        <f>"符文携"</f>
        <v>符文携</v>
      </c>
      <c r="E2060" s="8" t="str">
        <f t="shared" si="85"/>
        <v>女</v>
      </c>
      <c r="F2060" s="8" t="str">
        <f>"1997-04-28"</f>
        <v>1997-04-28</v>
      </c>
      <c r="G2060" s="9"/>
    </row>
    <row r="2061" spans="1:7" ht="13.5">
      <c r="A2061" s="7">
        <v>2059</v>
      </c>
      <c r="B2061" s="8" t="str">
        <f>"2341202009060919421760"</f>
        <v>2341202009060919421760</v>
      </c>
      <c r="C2061" s="8" t="s">
        <v>10</v>
      </c>
      <c r="D2061" s="8" t="str">
        <f>"王红姑"</f>
        <v>王红姑</v>
      </c>
      <c r="E2061" s="8" t="str">
        <f t="shared" si="85"/>
        <v>女</v>
      </c>
      <c r="F2061" s="8" t="str">
        <f>"1993-12-28"</f>
        <v>1993-12-28</v>
      </c>
      <c r="G2061" s="9"/>
    </row>
    <row r="2062" spans="1:7" ht="13.5">
      <c r="A2062" s="7">
        <v>2060</v>
      </c>
      <c r="B2062" s="8" t="str">
        <f>"2341202009060950291763"</f>
        <v>2341202009060950291763</v>
      </c>
      <c r="C2062" s="8" t="s">
        <v>10</v>
      </c>
      <c r="D2062" s="8" t="str">
        <f>"吴小芳"</f>
        <v>吴小芳</v>
      </c>
      <c r="E2062" s="8" t="str">
        <f t="shared" si="85"/>
        <v>女</v>
      </c>
      <c r="F2062" s="8" t="str">
        <f>"1987-12-06"</f>
        <v>1987-12-06</v>
      </c>
      <c r="G2062" s="9"/>
    </row>
    <row r="2063" spans="1:7" ht="13.5">
      <c r="A2063" s="7">
        <v>2061</v>
      </c>
      <c r="B2063" s="8" t="str">
        <f>"2341202009060957011764"</f>
        <v>2341202009060957011764</v>
      </c>
      <c r="C2063" s="8" t="s">
        <v>10</v>
      </c>
      <c r="D2063" s="8" t="str">
        <f>"李艳"</f>
        <v>李艳</v>
      </c>
      <c r="E2063" s="8" t="str">
        <f aca="true" t="shared" si="86" ref="E2063:E2094">"女"</f>
        <v>女</v>
      </c>
      <c r="F2063" s="8" t="str">
        <f>"1996-02-01"</f>
        <v>1996-02-01</v>
      </c>
      <c r="G2063" s="9"/>
    </row>
    <row r="2064" spans="1:7" ht="13.5">
      <c r="A2064" s="7">
        <v>2062</v>
      </c>
      <c r="B2064" s="8" t="str">
        <f>"2341202009061009071766"</f>
        <v>2341202009061009071766</v>
      </c>
      <c r="C2064" s="8" t="s">
        <v>10</v>
      </c>
      <c r="D2064" s="8" t="str">
        <f>"黎金玉"</f>
        <v>黎金玉</v>
      </c>
      <c r="E2064" s="8" t="str">
        <f t="shared" si="86"/>
        <v>女</v>
      </c>
      <c r="F2064" s="8" t="str">
        <f>"1994-03-27"</f>
        <v>1994-03-27</v>
      </c>
      <c r="G2064" s="9"/>
    </row>
    <row r="2065" spans="1:7" ht="13.5">
      <c r="A2065" s="7">
        <v>2063</v>
      </c>
      <c r="B2065" s="8" t="str">
        <f>"2341202009061022331769"</f>
        <v>2341202009061022331769</v>
      </c>
      <c r="C2065" s="8" t="s">
        <v>10</v>
      </c>
      <c r="D2065" s="8" t="str">
        <f>"薛春驳"</f>
        <v>薛春驳</v>
      </c>
      <c r="E2065" s="8" t="str">
        <f t="shared" si="86"/>
        <v>女</v>
      </c>
      <c r="F2065" s="8" t="str">
        <f>"1988-02-15"</f>
        <v>1988-02-15</v>
      </c>
      <c r="G2065" s="9"/>
    </row>
    <row r="2066" spans="1:7" ht="13.5">
      <c r="A2066" s="7">
        <v>2064</v>
      </c>
      <c r="B2066" s="8" t="str">
        <f>"2341202009061052481773"</f>
        <v>2341202009061052481773</v>
      </c>
      <c r="C2066" s="8" t="s">
        <v>10</v>
      </c>
      <c r="D2066" s="8" t="str">
        <f>"黄晶晶"</f>
        <v>黄晶晶</v>
      </c>
      <c r="E2066" s="8" t="str">
        <f t="shared" si="86"/>
        <v>女</v>
      </c>
      <c r="F2066" s="8" t="str">
        <f>"1999-05-17"</f>
        <v>1999-05-17</v>
      </c>
      <c r="G2066" s="9"/>
    </row>
    <row r="2067" spans="1:7" ht="13.5">
      <c r="A2067" s="7">
        <v>2065</v>
      </c>
      <c r="B2067" s="8" t="str">
        <f>"2341202009061106361775"</f>
        <v>2341202009061106361775</v>
      </c>
      <c r="C2067" s="8" t="s">
        <v>10</v>
      </c>
      <c r="D2067" s="8" t="str">
        <f>"徐永玲"</f>
        <v>徐永玲</v>
      </c>
      <c r="E2067" s="8" t="str">
        <f t="shared" si="86"/>
        <v>女</v>
      </c>
      <c r="F2067" s="8" t="str">
        <f>"1993-01-07"</f>
        <v>1993-01-07</v>
      </c>
      <c r="G2067" s="9"/>
    </row>
    <row r="2068" spans="1:7" ht="13.5">
      <c r="A2068" s="7">
        <v>2066</v>
      </c>
      <c r="B2068" s="8" t="str">
        <f>"2341202009061112051778"</f>
        <v>2341202009061112051778</v>
      </c>
      <c r="C2068" s="8" t="s">
        <v>10</v>
      </c>
      <c r="D2068" s="8" t="str">
        <f>"刘婷"</f>
        <v>刘婷</v>
      </c>
      <c r="E2068" s="8" t="str">
        <f t="shared" si="86"/>
        <v>女</v>
      </c>
      <c r="F2068" s="8" t="str">
        <f>"1990-10-27"</f>
        <v>1990-10-27</v>
      </c>
      <c r="G2068" s="9"/>
    </row>
    <row r="2069" spans="1:7" ht="13.5">
      <c r="A2069" s="7">
        <v>2067</v>
      </c>
      <c r="B2069" s="8" t="str">
        <f>"2341202009061206301786"</f>
        <v>2341202009061206301786</v>
      </c>
      <c r="C2069" s="8" t="s">
        <v>10</v>
      </c>
      <c r="D2069" s="8" t="str">
        <f>"王惠"</f>
        <v>王惠</v>
      </c>
      <c r="E2069" s="8" t="str">
        <f t="shared" si="86"/>
        <v>女</v>
      </c>
      <c r="F2069" s="8" t="str">
        <f>"1996-06-24"</f>
        <v>1996-06-24</v>
      </c>
      <c r="G2069" s="9"/>
    </row>
    <row r="2070" spans="1:7" ht="13.5">
      <c r="A2070" s="7">
        <v>2068</v>
      </c>
      <c r="B2070" s="8" t="str">
        <f>"2341202009061416141802"</f>
        <v>2341202009061416141802</v>
      </c>
      <c r="C2070" s="8" t="s">
        <v>10</v>
      </c>
      <c r="D2070" s="8" t="str">
        <f>"刘效言"</f>
        <v>刘效言</v>
      </c>
      <c r="E2070" s="8" t="str">
        <f t="shared" si="86"/>
        <v>女</v>
      </c>
      <c r="F2070" s="8" t="str">
        <f>"1991-01-14"</f>
        <v>1991-01-14</v>
      </c>
      <c r="G2070" s="9"/>
    </row>
    <row r="2071" spans="1:7" ht="13.5">
      <c r="A2071" s="7">
        <v>2069</v>
      </c>
      <c r="B2071" s="8" t="str">
        <f>"2341202009061616491815"</f>
        <v>2341202009061616491815</v>
      </c>
      <c r="C2071" s="8" t="s">
        <v>10</v>
      </c>
      <c r="D2071" s="8" t="str">
        <f>"李惠娟"</f>
        <v>李惠娟</v>
      </c>
      <c r="E2071" s="8" t="str">
        <f t="shared" si="86"/>
        <v>女</v>
      </c>
      <c r="F2071" s="8" t="str">
        <f>"1994-02-12"</f>
        <v>1994-02-12</v>
      </c>
      <c r="G2071" s="9"/>
    </row>
    <row r="2072" spans="1:7" ht="13.5">
      <c r="A2072" s="7">
        <v>2070</v>
      </c>
      <c r="B2072" s="8" t="str">
        <f>"2341202009061648151820"</f>
        <v>2341202009061648151820</v>
      </c>
      <c r="C2072" s="8" t="s">
        <v>10</v>
      </c>
      <c r="D2072" s="8" t="str">
        <f>"王媛悦"</f>
        <v>王媛悦</v>
      </c>
      <c r="E2072" s="8" t="str">
        <f t="shared" si="86"/>
        <v>女</v>
      </c>
      <c r="F2072" s="8" t="str">
        <f>"1990-07-05"</f>
        <v>1990-07-05</v>
      </c>
      <c r="G2072" s="9"/>
    </row>
    <row r="2073" spans="1:7" ht="13.5">
      <c r="A2073" s="7">
        <v>2071</v>
      </c>
      <c r="B2073" s="8" t="str">
        <f>"2341202009061657331822"</f>
        <v>2341202009061657331822</v>
      </c>
      <c r="C2073" s="8" t="s">
        <v>10</v>
      </c>
      <c r="D2073" s="8" t="str">
        <f>"吴诗"</f>
        <v>吴诗</v>
      </c>
      <c r="E2073" s="8" t="str">
        <f t="shared" si="86"/>
        <v>女</v>
      </c>
      <c r="F2073" s="8" t="str">
        <f>"1992-04-08"</f>
        <v>1992-04-08</v>
      </c>
      <c r="G2073" s="9"/>
    </row>
    <row r="2074" spans="1:7" ht="13.5">
      <c r="A2074" s="7">
        <v>2072</v>
      </c>
      <c r="B2074" s="8" t="str">
        <f>"2341202009061808431829"</f>
        <v>2341202009061808431829</v>
      </c>
      <c r="C2074" s="8" t="s">
        <v>10</v>
      </c>
      <c r="D2074" s="8" t="str">
        <f>"石雨昂"</f>
        <v>石雨昂</v>
      </c>
      <c r="E2074" s="8" t="str">
        <f t="shared" si="86"/>
        <v>女</v>
      </c>
      <c r="F2074" s="8" t="str">
        <f>"1997-11-11"</f>
        <v>1997-11-11</v>
      </c>
      <c r="G2074" s="9"/>
    </row>
    <row r="2075" spans="1:7" ht="13.5">
      <c r="A2075" s="7">
        <v>2073</v>
      </c>
      <c r="B2075" s="8" t="str">
        <f>"2341202009061823481831"</f>
        <v>2341202009061823481831</v>
      </c>
      <c r="C2075" s="8" t="s">
        <v>10</v>
      </c>
      <c r="D2075" s="8" t="str">
        <f>"邓美环"</f>
        <v>邓美环</v>
      </c>
      <c r="E2075" s="8" t="str">
        <f t="shared" si="86"/>
        <v>女</v>
      </c>
      <c r="F2075" s="8" t="str">
        <f>"1994-12-15"</f>
        <v>1994-12-15</v>
      </c>
      <c r="G2075" s="9"/>
    </row>
    <row r="2076" spans="1:7" ht="13.5">
      <c r="A2076" s="7">
        <v>2074</v>
      </c>
      <c r="B2076" s="8" t="str">
        <f>"2341202009061828401833"</f>
        <v>2341202009061828401833</v>
      </c>
      <c r="C2076" s="8" t="s">
        <v>10</v>
      </c>
      <c r="D2076" s="8" t="str">
        <f>"王隆丽"</f>
        <v>王隆丽</v>
      </c>
      <c r="E2076" s="8" t="str">
        <f t="shared" si="86"/>
        <v>女</v>
      </c>
      <c r="F2076" s="8" t="str">
        <f>"1991-07-10"</f>
        <v>1991-07-10</v>
      </c>
      <c r="G2076" s="9"/>
    </row>
    <row r="2077" spans="1:7" ht="13.5">
      <c r="A2077" s="7">
        <v>2075</v>
      </c>
      <c r="B2077" s="8" t="str">
        <f>"2341202009061835091835"</f>
        <v>2341202009061835091835</v>
      </c>
      <c r="C2077" s="8" t="s">
        <v>10</v>
      </c>
      <c r="D2077" s="8" t="str">
        <f>"李小芳"</f>
        <v>李小芳</v>
      </c>
      <c r="E2077" s="8" t="str">
        <f t="shared" si="86"/>
        <v>女</v>
      </c>
      <c r="F2077" s="8" t="str">
        <f>"1994-01-12"</f>
        <v>1994-01-12</v>
      </c>
      <c r="G2077" s="9"/>
    </row>
    <row r="2078" spans="1:7" ht="13.5">
      <c r="A2078" s="7">
        <v>2076</v>
      </c>
      <c r="B2078" s="8" t="str">
        <f>"2341202009061836041836"</f>
        <v>2341202009061836041836</v>
      </c>
      <c r="C2078" s="8" t="s">
        <v>10</v>
      </c>
      <c r="D2078" s="8" t="str">
        <f>"周瑞娜"</f>
        <v>周瑞娜</v>
      </c>
      <c r="E2078" s="8" t="str">
        <f t="shared" si="86"/>
        <v>女</v>
      </c>
      <c r="F2078" s="8" t="str">
        <f>"1996-01-07"</f>
        <v>1996-01-07</v>
      </c>
      <c r="G2078" s="9"/>
    </row>
    <row r="2079" spans="1:7" ht="13.5">
      <c r="A2079" s="7">
        <v>2077</v>
      </c>
      <c r="B2079" s="8" t="str">
        <f>"2341202009061857451839"</f>
        <v>2341202009061857451839</v>
      </c>
      <c r="C2079" s="8" t="s">
        <v>10</v>
      </c>
      <c r="D2079" s="8" t="str">
        <f>"陈咪咪"</f>
        <v>陈咪咪</v>
      </c>
      <c r="E2079" s="8" t="str">
        <f t="shared" si="86"/>
        <v>女</v>
      </c>
      <c r="F2079" s="8" t="str">
        <f>"1991-01-29"</f>
        <v>1991-01-29</v>
      </c>
      <c r="G2079" s="9"/>
    </row>
    <row r="2080" spans="1:7" ht="13.5">
      <c r="A2080" s="7">
        <v>2078</v>
      </c>
      <c r="B2080" s="8" t="str">
        <f>"2341202009062322151864"</f>
        <v>2341202009062322151864</v>
      </c>
      <c r="C2080" s="8" t="s">
        <v>10</v>
      </c>
      <c r="D2080" s="8" t="str">
        <f>"王娇诗"</f>
        <v>王娇诗</v>
      </c>
      <c r="E2080" s="8" t="str">
        <f t="shared" si="86"/>
        <v>女</v>
      </c>
      <c r="F2080" s="8" t="str">
        <f>"1991-09-04"</f>
        <v>1991-09-04</v>
      </c>
      <c r="G2080" s="9"/>
    </row>
    <row r="2081" spans="1:7" ht="13.5">
      <c r="A2081" s="7">
        <v>2079</v>
      </c>
      <c r="B2081" s="8" t="str">
        <f>"2341202009062340011867"</f>
        <v>2341202009062340011867</v>
      </c>
      <c r="C2081" s="8" t="s">
        <v>10</v>
      </c>
      <c r="D2081" s="8" t="str">
        <f>"李妹妹"</f>
        <v>李妹妹</v>
      </c>
      <c r="E2081" s="8" t="str">
        <f t="shared" si="86"/>
        <v>女</v>
      </c>
      <c r="F2081" s="8" t="str">
        <f>"1998-08-10"</f>
        <v>1998-08-10</v>
      </c>
      <c r="G2081" s="9"/>
    </row>
    <row r="2082" spans="1:7" ht="13.5">
      <c r="A2082" s="7">
        <v>2080</v>
      </c>
      <c r="B2082" s="8" t="str">
        <f>"2341202009062352121869"</f>
        <v>2341202009062352121869</v>
      </c>
      <c r="C2082" s="8" t="s">
        <v>10</v>
      </c>
      <c r="D2082" s="8" t="str">
        <f>"陈晨妍"</f>
        <v>陈晨妍</v>
      </c>
      <c r="E2082" s="8" t="str">
        <f t="shared" si="86"/>
        <v>女</v>
      </c>
      <c r="F2082" s="8" t="str">
        <f>"1995-10-20"</f>
        <v>1995-10-20</v>
      </c>
      <c r="G2082" s="9"/>
    </row>
    <row r="2083" spans="1:7" ht="13.5">
      <c r="A2083" s="7">
        <v>2081</v>
      </c>
      <c r="B2083" s="8" t="str">
        <f>"2341202009070044521871"</f>
        <v>2341202009070044521871</v>
      </c>
      <c r="C2083" s="8" t="s">
        <v>10</v>
      </c>
      <c r="D2083" s="8" t="str">
        <f>"陈景玉"</f>
        <v>陈景玉</v>
      </c>
      <c r="E2083" s="8" t="str">
        <f t="shared" si="86"/>
        <v>女</v>
      </c>
      <c r="F2083" s="8" t="str">
        <f>"1994-07-03"</f>
        <v>1994-07-03</v>
      </c>
      <c r="G2083" s="9"/>
    </row>
    <row r="2084" spans="1:7" ht="13.5">
      <c r="A2084" s="7">
        <v>2082</v>
      </c>
      <c r="B2084" s="8" t="str">
        <f>"2341202009070118491872"</f>
        <v>2341202009070118491872</v>
      </c>
      <c r="C2084" s="8" t="s">
        <v>10</v>
      </c>
      <c r="D2084" s="8" t="str">
        <f>"林燕"</f>
        <v>林燕</v>
      </c>
      <c r="E2084" s="8" t="str">
        <f t="shared" si="86"/>
        <v>女</v>
      </c>
      <c r="F2084" s="8" t="str">
        <f>"1989-08-20"</f>
        <v>1989-08-20</v>
      </c>
      <c r="G2084" s="9"/>
    </row>
    <row r="2085" spans="1:7" ht="13.5">
      <c r="A2085" s="7">
        <v>2083</v>
      </c>
      <c r="B2085" s="8" t="str">
        <f>"2341202009070827431877"</f>
        <v>2341202009070827431877</v>
      </c>
      <c r="C2085" s="8" t="s">
        <v>10</v>
      </c>
      <c r="D2085" s="8" t="str">
        <f>"马朝阳"</f>
        <v>马朝阳</v>
      </c>
      <c r="E2085" s="8" t="str">
        <f t="shared" si="86"/>
        <v>女</v>
      </c>
      <c r="F2085" s="8" t="str">
        <f>"1997-12-01"</f>
        <v>1997-12-01</v>
      </c>
      <c r="G2085" s="9"/>
    </row>
    <row r="2086" spans="1:7" ht="13.5">
      <c r="A2086" s="7">
        <v>2084</v>
      </c>
      <c r="B2086" s="8" t="str">
        <f>"2341202009070844261880"</f>
        <v>2341202009070844261880</v>
      </c>
      <c r="C2086" s="8" t="s">
        <v>10</v>
      </c>
      <c r="D2086" s="8" t="str">
        <f>"麦少缘"</f>
        <v>麦少缘</v>
      </c>
      <c r="E2086" s="8" t="str">
        <f t="shared" si="86"/>
        <v>女</v>
      </c>
      <c r="F2086" s="8" t="str">
        <f>"1992-03-15"</f>
        <v>1992-03-15</v>
      </c>
      <c r="G2086" s="9"/>
    </row>
    <row r="2087" spans="1:7" ht="13.5">
      <c r="A2087" s="7">
        <v>2085</v>
      </c>
      <c r="B2087" s="8" t="str">
        <f>"2341202009070848481881"</f>
        <v>2341202009070848481881</v>
      </c>
      <c r="C2087" s="8" t="s">
        <v>10</v>
      </c>
      <c r="D2087" s="8" t="str">
        <f>"陈丽平"</f>
        <v>陈丽平</v>
      </c>
      <c r="E2087" s="8" t="str">
        <f t="shared" si="86"/>
        <v>女</v>
      </c>
      <c r="F2087" s="8" t="str">
        <f>"1988-08-27"</f>
        <v>1988-08-27</v>
      </c>
      <c r="G2087" s="9"/>
    </row>
    <row r="2088" spans="1:7" ht="13.5">
      <c r="A2088" s="7">
        <v>2086</v>
      </c>
      <c r="B2088" s="8" t="str">
        <f>"2341202009070941531894"</f>
        <v>2341202009070941531894</v>
      </c>
      <c r="C2088" s="8" t="s">
        <v>10</v>
      </c>
      <c r="D2088" s="8" t="str">
        <f>"黄芳菲"</f>
        <v>黄芳菲</v>
      </c>
      <c r="E2088" s="8" t="str">
        <f t="shared" si="86"/>
        <v>女</v>
      </c>
      <c r="F2088" s="8" t="str">
        <f>"1995-10-21"</f>
        <v>1995-10-21</v>
      </c>
      <c r="G2088" s="9"/>
    </row>
    <row r="2089" spans="1:7" ht="13.5">
      <c r="A2089" s="7">
        <v>2087</v>
      </c>
      <c r="B2089" s="8" t="str">
        <f>"2341202009070955481897"</f>
        <v>2341202009070955481897</v>
      </c>
      <c r="C2089" s="8" t="s">
        <v>10</v>
      </c>
      <c r="D2089" s="8" t="str">
        <f>"王业莉"</f>
        <v>王业莉</v>
      </c>
      <c r="E2089" s="8" t="str">
        <f t="shared" si="86"/>
        <v>女</v>
      </c>
      <c r="F2089" s="8" t="str">
        <f>"1989-08-06"</f>
        <v>1989-08-06</v>
      </c>
      <c r="G2089" s="9"/>
    </row>
    <row r="2090" spans="1:7" ht="13.5">
      <c r="A2090" s="7">
        <v>2088</v>
      </c>
      <c r="B2090" s="8" t="str">
        <f>"2341202009070956071898"</f>
        <v>2341202009070956071898</v>
      </c>
      <c r="C2090" s="8" t="s">
        <v>10</v>
      </c>
      <c r="D2090" s="8" t="str">
        <f>"温淑霞"</f>
        <v>温淑霞</v>
      </c>
      <c r="E2090" s="8" t="str">
        <f t="shared" si="86"/>
        <v>女</v>
      </c>
      <c r="F2090" s="8" t="str">
        <f>"1995-07-29"</f>
        <v>1995-07-29</v>
      </c>
      <c r="G2090" s="9"/>
    </row>
    <row r="2091" spans="1:7" ht="13.5">
      <c r="A2091" s="7">
        <v>2089</v>
      </c>
      <c r="B2091" s="8" t="str">
        <f>"2341202009071009491902"</f>
        <v>2341202009071009491902</v>
      </c>
      <c r="C2091" s="8" t="s">
        <v>10</v>
      </c>
      <c r="D2091" s="8" t="str">
        <f>"容王萱"</f>
        <v>容王萱</v>
      </c>
      <c r="E2091" s="8" t="str">
        <f t="shared" si="86"/>
        <v>女</v>
      </c>
      <c r="F2091" s="8" t="str">
        <f>"1996-10-21"</f>
        <v>1996-10-21</v>
      </c>
      <c r="G2091" s="9"/>
    </row>
    <row r="2092" spans="1:7" ht="13.5">
      <c r="A2092" s="7">
        <v>2090</v>
      </c>
      <c r="B2092" s="8" t="str">
        <f>"2341202009071103431914"</f>
        <v>2341202009071103431914</v>
      </c>
      <c r="C2092" s="8" t="s">
        <v>10</v>
      </c>
      <c r="D2092" s="8" t="str">
        <f>"何小燕"</f>
        <v>何小燕</v>
      </c>
      <c r="E2092" s="8" t="str">
        <f t="shared" si="86"/>
        <v>女</v>
      </c>
      <c r="F2092" s="8" t="str">
        <f>"1989-12-19"</f>
        <v>1989-12-19</v>
      </c>
      <c r="G2092" s="9"/>
    </row>
    <row r="2093" spans="1:7" ht="13.5">
      <c r="A2093" s="7">
        <v>2091</v>
      </c>
      <c r="B2093" s="8" t="str">
        <f>"2341202009071200131926"</f>
        <v>2341202009071200131926</v>
      </c>
      <c r="C2093" s="8" t="s">
        <v>10</v>
      </c>
      <c r="D2093" s="8" t="str">
        <f>"孙子雯"</f>
        <v>孙子雯</v>
      </c>
      <c r="E2093" s="8" t="str">
        <f t="shared" si="86"/>
        <v>女</v>
      </c>
      <c r="F2093" s="8" t="str">
        <f>"1992-12-17"</f>
        <v>1992-12-17</v>
      </c>
      <c r="G2093" s="9"/>
    </row>
    <row r="2094" spans="1:7" ht="13.5">
      <c r="A2094" s="7">
        <v>2092</v>
      </c>
      <c r="B2094" s="8" t="str">
        <f>"2341202009071259321936"</f>
        <v>2341202009071259321936</v>
      </c>
      <c r="C2094" s="8" t="s">
        <v>10</v>
      </c>
      <c r="D2094" s="8" t="str">
        <f>"孙爱霞"</f>
        <v>孙爱霞</v>
      </c>
      <c r="E2094" s="8" t="str">
        <f t="shared" si="86"/>
        <v>女</v>
      </c>
      <c r="F2094" s="8" t="str">
        <f>"1986-06-16"</f>
        <v>1986-06-16</v>
      </c>
      <c r="G2094" s="9"/>
    </row>
    <row r="2095" spans="1:7" ht="13.5">
      <c r="A2095" s="7">
        <v>2093</v>
      </c>
      <c r="B2095" s="8" t="str">
        <f>"2341202009071259351937"</f>
        <v>2341202009071259351937</v>
      </c>
      <c r="C2095" s="8" t="s">
        <v>10</v>
      </c>
      <c r="D2095" s="8" t="str">
        <f>"林季花"</f>
        <v>林季花</v>
      </c>
      <c r="E2095" s="8" t="str">
        <f aca="true" t="shared" si="87" ref="E2095:E2126">"女"</f>
        <v>女</v>
      </c>
      <c r="F2095" s="8" t="str">
        <f>"1995-11-07"</f>
        <v>1995-11-07</v>
      </c>
      <c r="G2095" s="9"/>
    </row>
    <row r="2096" spans="1:7" ht="13.5">
      <c r="A2096" s="7">
        <v>2094</v>
      </c>
      <c r="B2096" s="8" t="str">
        <f>"2341202009071345331945"</f>
        <v>2341202009071345331945</v>
      </c>
      <c r="C2096" s="8" t="s">
        <v>10</v>
      </c>
      <c r="D2096" s="8" t="str">
        <f>"冯丽朱"</f>
        <v>冯丽朱</v>
      </c>
      <c r="E2096" s="8" t="str">
        <f t="shared" si="87"/>
        <v>女</v>
      </c>
      <c r="F2096" s="8" t="str">
        <f>"1994-07-02"</f>
        <v>1994-07-02</v>
      </c>
      <c r="G2096" s="9"/>
    </row>
    <row r="2097" spans="1:7" ht="13.5">
      <c r="A2097" s="7">
        <v>2095</v>
      </c>
      <c r="B2097" s="8" t="str">
        <f>"2341202009071449031951"</f>
        <v>2341202009071449031951</v>
      </c>
      <c r="C2097" s="8" t="s">
        <v>10</v>
      </c>
      <c r="D2097" s="8" t="str">
        <f>"韦温馨"</f>
        <v>韦温馨</v>
      </c>
      <c r="E2097" s="8" t="str">
        <f t="shared" si="87"/>
        <v>女</v>
      </c>
      <c r="F2097" s="8" t="str">
        <f>"1996-05-13"</f>
        <v>1996-05-13</v>
      </c>
      <c r="G2097" s="9"/>
    </row>
    <row r="2098" spans="1:7" ht="13.5">
      <c r="A2098" s="7">
        <v>2096</v>
      </c>
      <c r="B2098" s="8" t="str">
        <f>"2341202009071454591952"</f>
        <v>2341202009071454591952</v>
      </c>
      <c r="C2098" s="8" t="s">
        <v>10</v>
      </c>
      <c r="D2098" s="8" t="str">
        <f>"陈美伶"</f>
        <v>陈美伶</v>
      </c>
      <c r="E2098" s="8" t="str">
        <f t="shared" si="87"/>
        <v>女</v>
      </c>
      <c r="F2098" s="8" t="str">
        <f>"1998-02-05"</f>
        <v>1998-02-05</v>
      </c>
      <c r="G2098" s="9"/>
    </row>
    <row r="2099" spans="1:7" ht="13.5">
      <c r="A2099" s="7">
        <v>2097</v>
      </c>
      <c r="B2099" s="8" t="str">
        <f>"2341202009071506471954"</f>
        <v>2341202009071506471954</v>
      </c>
      <c r="C2099" s="8" t="s">
        <v>10</v>
      </c>
      <c r="D2099" s="8" t="str">
        <f>"韩燕冰"</f>
        <v>韩燕冰</v>
      </c>
      <c r="E2099" s="8" t="str">
        <f t="shared" si="87"/>
        <v>女</v>
      </c>
      <c r="F2099" s="8" t="str">
        <f>"1997-03-11"</f>
        <v>1997-03-11</v>
      </c>
      <c r="G2099" s="9"/>
    </row>
    <row r="2100" spans="1:7" ht="13.5">
      <c r="A2100" s="7">
        <v>2098</v>
      </c>
      <c r="B2100" s="8" t="str">
        <f>"2341202009071512101956"</f>
        <v>2341202009071512101956</v>
      </c>
      <c r="C2100" s="8" t="s">
        <v>10</v>
      </c>
      <c r="D2100" s="8" t="str">
        <f>"邢益萍"</f>
        <v>邢益萍</v>
      </c>
      <c r="E2100" s="8" t="str">
        <f t="shared" si="87"/>
        <v>女</v>
      </c>
      <c r="F2100" s="8" t="str">
        <f>"1996-09-20"</f>
        <v>1996-09-20</v>
      </c>
      <c r="G2100" s="9"/>
    </row>
    <row r="2101" spans="1:7" ht="13.5">
      <c r="A2101" s="7">
        <v>2099</v>
      </c>
      <c r="B2101" s="8" t="str">
        <f>"2341202009071553091964"</f>
        <v>2341202009071553091964</v>
      </c>
      <c r="C2101" s="8" t="s">
        <v>10</v>
      </c>
      <c r="D2101" s="8" t="str">
        <f>"方菲"</f>
        <v>方菲</v>
      </c>
      <c r="E2101" s="8" t="str">
        <f t="shared" si="87"/>
        <v>女</v>
      </c>
      <c r="F2101" s="8" t="str">
        <f>"1996-02-13"</f>
        <v>1996-02-13</v>
      </c>
      <c r="G2101" s="9"/>
    </row>
    <row r="2102" spans="1:7" ht="13.5">
      <c r="A2102" s="7">
        <v>2100</v>
      </c>
      <c r="B2102" s="8" t="str">
        <f>"2341202009071557231965"</f>
        <v>2341202009071557231965</v>
      </c>
      <c r="C2102" s="8" t="s">
        <v>10</v>
      </c>
      <c r="D2102" s="8" t="str">
        <f>"黎佩"</f>
        <v>黎佩</v>
      </c>
      <c r="E2102" s="8" t="str">
        <f t="shared" si="87"/>
        <v>女</v>
      </c>
      <c r="F2102" s="8" t="str">
        <f>"1995-01-06"</f>
        <v>1995-01-06</v>
      </c>
      <c r="G2102" s="9"/>
    </row>
    <row r="2103" spans="1:7" ht="13.5">
      <c r="A2103" s="7">
        <v>2101</v>
      </c>
      <c r="B2103" s="8" t="str">
        <f>"2341202009071637481973"</f>
        <v>2341202009071637481973</v>
      </c>
      <c r="C2103" s="8" t="s">
        <v>10</v>
      </c>
      <c r="D2103" s="8" t="str">
        <f>"吴丹妮"</f>
        <v>吴丹妮</v>
      </c>
      <c r="E2103" s="8" t="str">
        <f t="shared" si="87"/>
        <v>女</v>
      </c>
      <c r="F2103" s="8" t="str">
        <f>"1995-06-03"</f>
        <v>1995-06-03</v>
      </c>
      <c r="G2103" s="9"/>
    </row>
    <row r="2104" spans="1:7" ht="13.5">
      <c r="A2104" s="7">
        <v>2102</v>
      </c>
      <c r="B2104" s="8" t="str">
        <f>"2341202009071724031979"</f>
        <v>2341202009071724031979</v>
      </c>
      <c r="C2104" s="8" t="s">
        <v>10</v>
      </c>
      <c r="D2104" s="8" t="str">
        <f>"李嫦"</f>
        <v>李嫦</v>
      </c>
      <c r="E2104" s="8" t="str">
        <f t="shared" si="87"/>
        <v>女</v>
      </c>
      <c r="F2104" s="8" t="str">
        <f>"1996-10-25"</f>
        <v>1996-10-25</v>
      </c>
      <c r="G2104" s="9"/>
    </row>
    <row r="2105" spans="1:7" ht="13.5">
      <c r="A2105" s="7">
        <v>2103</v>
      </c>
      <c r="B2105" s="8" t="str">
        <f>"2341202009071728481982"</f>
        <v>2341202009071728481982</v>
      </c>
      <c r="C2105" s="8" t="s">
        <v>10</v>
      </c>
      <c r="D2105" s="8" t="str">
        <f>"李芳"</f>
        <v>李芳</v>
      </c>
      <c r="E2105" s="8" t="str">
        <f t="shared" si="87"/>
        <v>女</v>
      </c>
      <c r="F2105" s="8" t="str">
        <f>"1997-08-09"</f>
        <v>1997-08-09</v>
      </c>
      <c r="G2105" s="9"/>
    </row>
    <row r="2106" spans="1:7" ht="13.5">
      <c r="A2106" s="7">
        <v>2104</v>
      </c>
      <c r="B2106" s="8" t="str">
        <f>"2341202009071737491984"</f>
        <v>2341202009071737491984</v>
      </c>
      <c r="C2106" s="8" t="s">
        <v>10</v>
      </c>
      <c r="D2106" s="8" t="str">
        <f>"符施施"</f>
        <v>符施施</v>
      </c>
      <c r="E2106" s="8" t="str">
        <f t="shared" si="87"/>
        <v>女</v>
      </c>
      <c r="F2106" s="8" t="str">
        <f>"1996-06-08"</f>
        <v>1996-06-08</v>
      </c>
      <c r="G2106" s="9"/>
    </row>
    <row r="2107" spans="1:7" ht="13.5">
      <c r="A2107" s="7">
        <v>2105</v>
      </c>
      <c r="B2107" s="8" t="str">
        <f>"2341202009071806591989"</f>
        <v>2341202009071806591989</v>
      </c>
      <c r="C2107" s="8" t="s">
        <v>10</v>
      </c>
      <c r="D2107" s="8" t="str">
        <f>"赵哈拿"</f>
        <v>赵哈拿</v>
      </c>
      <c r="E2107" s="8" t="str">
        <f t="shared" si="87"/>
        <v>女</v>
      </c>
      <c r="F2107" s="8" t="str">
        <f>"1990-01-09"</f>
        <v>1990-01-09</v>
      </c>
      <c r="G2107" s="9"/>
    </row>
    <row r="2108" spans="1:7" ht="13.5">
      <c r="A2108" s="7">
        <v>2106</v>
      </c>
      <c r="B2108" s="8" t="str">
        <f>"2341202009071937142000"</f>
        <v>2341202009071937142000</v>
      </c>
      <c r="C2108" s="8" t="s">
        <v>10</v>
      </c>
      <c r="D2108" s="8" t="str">
        <f>"钟健娜"</f>
        <v>钟健娜</v>
      </c>
      <c r="E2108" s="8" t="str">
        <f t="shared" si="87"/>
        <v>女</v>
      </c>
      <c r="F2108" s="8" t="str">
        <f>"1994-11-06"</f>
        <v>1994-11-06</v>
      </c>
      <c r="G2108" s="9"/>
    </row>
    <row r="2109" spans="1:7" ht="13.5">
      <c r="A2109" s="7">
        <v>2107</v>
      </c>
      <c r="B2109" s="8" t="str">
        <f>"2341202009072008182006"</f>
        <v>2341202009072008182006</v>
      </c>
      <c r="C2109" s="8" t="s">
        <v>10</v>
      </c>
      <c r="D2109" s="8" t="str">
        <f>"张茹彬"</f>
        <v>张茹彬</v>
      </c>
      <c r="E2109" s="8" t="str">
        <f t="shared" si="87"/>
        <v>女</v>
      </c>
      <c r="F2109" s="8" t="str">
        <f>"1997-04-23"</f>
        <v>1997-04-23</v>
      </c>
      <c r="G2109" s="9"/>
    </row>
    <row r="2110" spans="1:7" ht="13.5">
      <c r="A2110" s="7">
        <v>2108</v>
      </c>
      <c r="B2110" s="8" t="str">
        <f>"2341202009072019362007"</f>
        <v>2341202009072019362007</v>
      </c>
      <c r="C2110" s="8" t="s">
        <v>10</v>
      </c>
      <c r="D2110" s="8" t="str">
        <f>"苏天玉"</f>
        <v>苏天玉</v>
      </c>
      <c r="E2110" s="8" t="str">
        <f t="shared" si="87"/>
        <v>女</v>
      </c>
      <c r="F2110" s="8" t="str">
        <f>"1994-02-16"</f>
        <v>1994-02-16</v>
      </c>
      <c r="G2110" s="9"/>
    </row>
    <row r="2111" spans="1:7" ht="13.5">
      <c r="A2111" s="7">
        <v>2109</v>
      </c>
      <c r="B2111" s="8" t="str">
        <f>"2341202009072034452012"</f>
        <v>2341202009072034452012</v>
      </c>
      <c r="C2111" s="8" t="s">
        <v>10</v>
      </c>
      <c r="D2111" s="8" t="str">
        <f>"陈沙沙"</f>
        <v>陈沙沙</v>
      </c>
      <c r="E2111" s="8" t="str">
        <f t="shared" si="87"/>
        <v>女</v>
      </c>
      <c r="F2111" s="8" t="str">
        <f>"1996-09-06"</f>
        <v>1996-09-06</v>
      </c>
      <c r="G2111" s="9"/>
    </row>
    <row r="2112" spans="1:7" ht="13.5">
      <c r="A2112" s="7">
        <v>2110</v>
      </c>
      <c r="B2112" s="8" t="str">
        <f>"2341202009072054182016"</f>
        <v>2341202009072054182016</v>
      </c>
      <c r="C2112" s="8" t="s">
        <v>10</v>
      </c>
      <c r="D2112" s="8" t="str">
        <f>"崔经女"</f>
        <v>崔经女</v>
      </c>
      <c r="E2112" s="8" t="str">
        <f t="shared" si="87"/>
        <v>女</v>
      </c>
      <c r="F2112" s="8" t="str">
        <f>"1996-07-01"</f>
        <v>1996-07-01</v>
      </c>
      <c r="G2112" s="9"/>
    </row>
    <row r="2113" spans="1:7" ht="13.5">
      <c r="A2113" s="7">
        <v>2111</v>
      </c>
      <c r="B2113" s="8" t="str">
        <f>"2341202009072055192018"</f>
        <v>2341202009072055192018</v>
      </c>
      <c r="C2113" s="8" t="s">
        <v>10</v>
      </c>
      <c r="D2113" s="8" t="str">
        <f>"吴高敏"</f>
        <v>吴高敏</v>
      </c>
      <c r="E2113" s="8" t="str">
        <f t="shared" si="87"/>
        <v>女</v>
      </c>
      <c r="F2113" s="8" t="str">
        <f>"1996-02-09"</f>
        <v>1996-02-09</v>
      </c>
      <c r="G2113" s="9"/>
    </row>
    <row r="2114" spans="1:7" ht="13.5">
      <c r="A2114" s="7">
        <v>2112</v>
      </c>
      <c r="B2114" s="8" t="str">
        <f>"2341202009072106482020"</f>
        <v>2341202009072106482020</v>
      </c>
      <c r="C2114" s="8" t="s">
        <v>10</v>
      </c>
      <c r="D2114" s="8" t="str">
        <f>"林诗莉"</f>
        <v>林诗莉</v>
      </c>
      <c r="E2114" s="8" t="str">
        <f t="shared" si="87"/>
        <v>女</v>
      </c>
      <c r="F2114" s="8" t="str">
        <f>"1991-10-14"</f>
        <v>1991-10-14</v>
      </c>
      <c r="G2114" s="9"/>
    </row>
    <row r="2115" spans="1:7" ht="13.5">
      <c r="A2115" s="7">
        <v>2113</v>
      </c>
      <c r="B2115" s="8" t="str">
        <f>"2341202009080627142036"</f>
        <v>2341202009080627142036</v>
      </c>
      <c r="C2115" s="8" t="s">
        <v>10</v>
      </c>
      <c r="D2115" s="8" t="str">
        <f>"何木英"</f>
        <v>何木英</v>
      </c>
      <c r="E2115" s="8" t="str">
        <f t="shared" si="87"/>
        <v>女</v>
      </c>
      <c r="F2115" s="8" t="str">
        <f>"1996-11-21"</f>
        <v>1996-11-21</v>
      </c>
      <c r="G2115" s="9"/>
    </row>
    <row r="2116" spans="1:7" ht="13.5">
      <c r="A2116" s="7">
        <v>2114</v>
      </c>
      <c r="B2116" s="8" t="str">
        <f>"2341202009080932572044"</f>
        <v>2341202009080932572044</v>
      </c>
      <c r="C2116" s="8" t="s">
        <v>10</v>
      </c>
      <c r="D2116" s="8" t="str">
        <f>"张佳园"</f>
        <v>张佳园</v>
      </c>
      <c r="E2116" s="8" t="str">
        <f t="shared" si="87"/>
        <v>女</v>
      </c>
      <c r="F2116" s="8" t="str">
        <f>"1995-10-12"</f>
        <v>1995-10-12</v>
      </c>
      <c r="G2116" s="9"/>
    </row>
    <row r="2117" spans="1:7" ht="13.5">
      <c r="A2117" s="7">
        <v>2115</v>
      </c>
      <c r="B2117" s="8" t="str">
        <f>"2341202009081045162052"</f>
        <v>2341202009081045162052</v>
      </c>
      <c r="C2117" s="8" t="s">
        <v>10</v>
      </c>
      <c r="D2117" s="8" t="str">
        <f>"李丽梅"</f>
        <v>李丽梅</v>
      </c>
      <c r="E2117" s="8" t="str">
        <f t="shared" si="87"/>
        <v>女</v>
      </c>
      <c r="F2117" s="8" t="str">
        <f>"1992-01-02"</f>
        <v>1992-01-02</v>
      </c>
      <c r="G2117" s="9"/>
    </row>
    <row r="2118" spans="1:7" ht="13.5">
      <c r="A2118" s="7">
        <v>2116</v>
      </c>
      <c r="B2118" s="8" t="str">
        <f>"2341202009081049492055"</f>
        <v>2341202009081049492055</v>
      </c>
      <c r="C2118" s="8" t="s">
        <v>10</v>
      </c>
      <c r="D2118" s="8" t="str">
        <f>"汪小菡"</f>
        <v>汪小菡</v>
      </c>
      <c r="E2118" s="8" t="str">
        <f t="shared" si="87"/>
        <v>女</v>
      </c>
      <c r="F2118" s="8" t="str">
        <f>"1999-01-06"</f>
        <v>1999-01-06</v>
      </c>
      <c r="G2118" s="9"/>
    </row>
    <row r="2119" spans="1:7" ht="13.5">
      <c r="A2119" s="7">
        <v>2117</v>
      </c>
      <c r="B2119" s="8" t="str">
        <f>"2341202009081055552058"</f>
        <v>2341202009081055552058</v>
      </c>
      <c r="C2119" s="8" t="s">
        <v>10</v>
      </c>
      <c r="D2119" s="8" t="str">
        <f>"陈启霞"</f>
        <v>陈启霞</v>
      </c>
      <c r="E2119" s="8" t="str">
        <f t="shared" si="87"/>
        <v>女</v>
      </c>
      <c r="F2119" s="8" t="str">
        <f>"1996-06-20"</f>
        <v>1996-06-20</v>
      </c>
      <c r="G2119" s="9"/>
    </row>
    <row r="2120" spans="1:7" ht="13.5">
      <c r="A2120" s="7">
        <v>2118</v>
      </c>
      <c r="B2120" s="8" t="str">
        <f>"2341202009081124432065"</f>
        <v>2341202009081124432065</v>
      </c>
      <c r="C2120" s="8" t="s">
        <v>10</v>
      </c>
      <c r="D2120" s="8" t="str">
        <f>"艾慧星"</f>
        <v>艾慧星</v>
      </c>
      <c r="E2120" s="8" t="str">
        <f t="shared" si="87"/>
        <v>女</v>
      </c>
      <c r="F2120" s="8" t="str">
        <f>"1987-01-27"</f>
        <v>1987-01-27</v>
      </c>
      <c r="G2120" s="9"/>
    </row>
    <row r="2121" spans="1:7" ht="13.5">
      <c r="A2121" s="7">
        <v>2119</v>
      </c>
      <c r="B2121" s="8" t="str">
        <f>"2341202009081228222075"</f>
        <v>2341202009081228222075</v>
      </c>
      <c r="C2121" s="8" t="s">
        <v>10</v>
      </c>
      <c r="D2121" s="8" t="str">
        <f>"陈晓娜"</f>
        <v>陈晓娜</v>
      </c>
      <c r="E2121" s="8" t="str">
        <f t="shared" si="87"/>
        <v>女</v>
      </c>
      <c r="F2121" s="8" t="str">
        <f>"1994-02-22"</f>
        <v>1994-02-22</v>
      </c>
      <c r="G2121" s="9"/>
    </row>
    <row r="2122" spans="1:7" ht="13.5">
      <c r="A2122" s="7">
        <v>2120</v>
      </c>
      <c r="B2122" s="8" t="str">
        <f>"2341202009081408332084"</f>
        <v>2341202009081408332084</v>
      </c>
      <c r="C2122" s="8" t="s">
        <v>10</v>
      </c>
      <c r="D2122" s="8" t="str">
        <f>"林小翠"</f>
        <v>林小翠</v>
      </c>
      <c r="E2122" s="8" t="str">
        <f t="shared" si="87"/>
        <v>女</v>
      </c>
      <c r="F2122" s="8" t="str">
        <f>"1985-04-01"</f>
        <v>1985-04-01</v>
      </c>
      <c r="G2122" s="9"/>
    </row>
    <row r="2123" spans="1:7" ht="13.5">
      <c r="A2123" s="7">
        <v>2121</v>
      </c>
      <c r="B2123" s="8" t="str">
        <f>"2341202009081432492086"</f>
        <v>2341202009081432492086</v>
      </c>
      <c r="C2123" s="8" t="s">
        <v>10</v>
      </c>
      <c r="D2123" s="8" t="str">
        <f>"欧路芳"</f>
        <v>欧路芳</v>
      </c>
      <c r="E2123" s="8" t="str">
        <f t="shared" si="87"/>
        <v>女</v>
      </c>
      <c r="F2123" s="8" t="str">
        <f>"1992-05-06"</f>
        <v>1992-05-06</v>
      </c>
      <c r="G2123" s="9"/>
    </row>
    <row r="2124" spans="1:7" ht="13.5">
      <c r="A2124" s="7">
        <v>2122</v>
      </c>
      <c r="B2124" s="8" t="str">
        <f>"2341202009081621352108"</f>
        <v>2341202009081621352108</v>
      </c>
      <c r="C2124" s="8" t="s">
        <v>10</v>
      </c>
      <c r="D2124" s="8" t="str">
        <f>"吕全教"</f>
        <v>吕全教</v>
      </c>
      <c r="E2124" s="8" t="str">
        <f t="shared" si="87"/>
        <v>女</v>
      </c>
      <c r="F2124" s="8" t="str">
        <f>"1995-11-27"</f>
        <v>1995-11-27</v>
      </c>
      <c r="G2124" s="9"/>
    </row>
    <row r="2125" spans="1:7" ht="13.5">
      <c r="A2125" s="7">
        <v>2123</v>
      </c>
      <c r="B2125" s="8" t="str">
        <f>"2341202009081621462109"</f>
        <v>2341202009081621462109</v>
      </c>
      <c r="C2125" s="8" t="s">
        <v>10</v>
      </c>
      <c r="D2125" s="8" t="str">
        <f>"莫常玉"</f>
        <v>莫常玉</v>
      </c>
      <c r="E2125" s="8" t="str">
        <f t="shared" si="87"/>
        <v>女</v>
      </c>
      <c r="F2125" s="8" t="str">
        <f>"1991-01-05"</f>
        <v>1991-01-05</v>
      </c>
      <c r="G2125" s="9"/>
    </row>
    <row r="2126" spans="1:7" ht="13.5">
      <c r="A2126" s="7">
        <v>2124</v>
      </c>
      <c r="B2126" s="8" t="str">
        <f>"2341202009081625062111"</f>
        <v>2341202009081625062111</v>
      </c>
      <c r="C2126" s="8" t="s">
        <v>10</v>
      </c>
      <c r="D2126" s="8" t="str">
        <f>"叶民慧"</f>
        <v>叶民慧</v>
      </c>
      <c r="E2126" s="8" t="str">
        <f t="shared" si="87"/>
        <v>女</v>
      </c>
      <c r="F2126" s="8" t="str">
        <f>"1988-05-11"</f>
        <v>1988-05-11</v>
      </c>
      <c r="G2126" s="9"/>
    </row>
    <row r="2127" spans="1:7" ht="13.5">
      <c r="A2127" s="7">
        <v>2125</v>
      </c>
      <c r="B2127" s="8" t="str">
        <f>"2341202009081659352119"</f>
        <v>2341202009081659352119</v>
      </c>
      <c r="C2127" s="8" t="s">
        <v>10</v>
      </c>
      <c r="D2127" s="8" t="str">
        <f>"王艺慧"</f>
        <v>王艺慧</v>
      </c>
      <c r="E2127" s="8" t="str">
        <f aca="true" t="shared" si="88" ref="E2127:E2158">"女"</f>
        <v>女</v>
      </c>
      <c r="F2127" s="8" t="str">
        <f>"1993-08-06"</f>
        <v>1993-08-06</v>
      </c>
      <c r="G2127" s="9"/>
    </row>
    <row r="2128" spans="1:7" ht="13.5">
      <c r="A2128" s="7">
        <v>2126</v>
      </c>
      <c r="B2128" s="8" t="str">
        <f>"2341202009081710202123"</f>
        <v>2341202009081710202123</v>
      </c>
      <c r="C2128" s="8" t="s">
        <v>10</v>
      </c>
      <c r="D2128" s="8" t="str">
        <f>"朱柳芳"</f>
        <v>朱柳芳</v>
      </c>
      <c r="E2128" s="8" t="str">
        <f t="shared" si="88"/>
        <v>女</v>
      </c>
      <c r="F2128" s="8" t="str">
        <f>"1988-04-20"</f>
        <v>1988-04-20</v>
      </c>
      <c r="G2128" s="9"/>
    </row>
    <row r="2129" spans="1:7" ht="13.5">
      <c r="A2129" s="7">
        <v>2127</v>
      </c>
      <c r="B2129" s="8" t="str">
        <f>"2341202009081732162125"</f>
        <v>2341202009081732162125</v>
      </c>
      <c r="C2129" s="8" t="s">
        <v>10</v>
      </c>
      <c r="D2129" s="8" t="str">
        <f>"张影"</f>
        <v>张影</v>
      </c>
      <c r="E2129" s="8" t="str">
        <f t="shared" si="88"/>
        <v>女</v>
      </c>
      <c r="F2129" s="8" t="str">
        <f>"1991-02-18"</f>
        <v>1991-02-18</v>
      </c>
      <c r="G2129" s="9"/>
    </row>
    <row r="2130" spans="1:7" ht="13.5">
      <c r="A2130" s="7">
        <v>2128</v>
      </c>
      <c r="B2130" s="8" t="str">
        <f>"2341202009081854552136"</f>
        <v>2341202009081854552136</v>
      </c>
      <c r="C2130" s="8" t="s">
        <v>10</v>
      </c>
      <c r="D2130" s="8" t="str">
        <f>"孙燕"</f>
        <v>孙燕</v>
      </c>
      <c r="E2130" s="8" t="str">
        <f t="shared" si="88"/>
        <v>女</v>
      </c>
      <c r="F2130" s="8" t="str">
        <f>"1993-05-25"</f>
        <v>1993-05-25</v>
      </c>
      <c r="G2130" s="9"/>
    </row>
    <row r="2131" spans="1:7" ht="13.5">
      <c r="A2131" s="7">
        <v>2129</v>
      </c>
      <c r="B2131" s="8" t="str">
        <f>"2341202009081925512142"</f>
        <v>2341202009081925512142</v>
      </c>
      <c r="C2131" s="8" t="s">
        <v>10</v>
      </c>
      <c r="D2131" s="8" t="str">
        <f>"林晶晶"</f>
        <v>林晶晶</v>
      </c>
      <c r="E2131" s="8" t="str">
        <f t="shared" si="88"/>
        <v>女</v>
      </c>
      <c r="F2131" s="8" t="str">
        <f>"1994-07-24"</f>
        <v>1994-07-24</v>
      </c>
      <c r="G2131" s="9"/>
    </row>
    <row r="2132" spans="1:7" ht="13.5">
      <c r="A2132" s="7">
        <v>2130</v>
      </c>
      <c r="B2132" s="8" t="str">
        <f>"2341202009081945442146"</f>
        <v>2341202009081945442146</v>
      </c>
      <c r="C2132" s="8" t="s">
        <v>10</v>
      </c>
      <c r="D2132" s="8" t="str">
        <f>"何那女"</f>
        <v>何那女</v>
      </c>
      <c r="E2132" s="8" t="str">
        <f t="shared" si="88"/>
        <v>女</v>
      </c>
      <c r="F2132" s="8" t="str">
        <f>"1995-11-04"</f>
        <v>1995-11-04</v>
      </c>
      <c r="G2132" s="9"/>
    </row>
    <row r="2133" spans="1:7" ht="13.5">
      <c r="A2133" s="7">
        <v>2131</v>
      </c>
      <c r="B2133" s="8" t="str">
        <f>"2341202009082029452154"</f>
        <v>2341202009082029452154</v>
      </c>
      <c r="C2133" s="8" t="s">
        <v>10</v>
      </c>
      <c r="D2133" s="8" t="str">
        <f>"樊蓉"</f>
        <v>樊蓉</v>
      </c>
      <c r="E2133" s="8" t="str">
        <f t="shared" si="88"/>
        <v>女</v>
      </c>
      <c r="F2133" s="8" t="str">
        <f>"1990-05-05"</f>
        <v>1990-05-05</v>
      </c>
      <c r="G2133" s="9"/>
    </row>
    <row r="2134" spans="1:7" ht="13.5">
      <c r="A2134" s="7">
        <v>2132</v>
      </c>
      <c r="B2134" s="8" t="str">
        <f>"2341202009082058142161"</f>
        <v>2341202009082058142161</v>
      </c>
      <c r="C2134" s="8" t="s">
        <v>10</v>
      </c>
      <c r="D2134" s="8" t="str">
        <f>"蒲佳雪"</f>
        <v>蒲佳雪</v>
      </c>
      <c r="E2134" s="8" t="str">
        <f t="shared" si="88"/>
        <v>女</v>
      </c>
      <c r="F2134" s="8" t="str">
        <f>"1993-12-30"</f>
        <v>1993-12-30</v>
      </c>
      <c r="G2134" s="9"/>
    </row>
    <row r="2135" spans="1:7" ht="13.5">
      <c r="A2135" s="7">
        <v>2133</v>
      </c>
      <c r="B2135" s="8" t="str">
        <f>"2341202009082103242164"</f>
        <v>2341202009082103242164</v>
      </c>
      <c r="C2135" s="8" t="s">
        <v>10</v>
      </c>
      <c r="D2135" s="8" t="str">
        <f>"邓莎"</f>
        <v>邓莎</v>
      </c>
      <c r="E2135" s="8" t="str">
        <f t="shared" si="88"/>
        <v>女</v>
      </c>
      <c r="F2135" s="8" t="str">
        <f>"1985-09-09"</f>
        <v>1985-09-09</v>
      </c>
      <c r="G2135" s="9"/>
    </row>
    <row r="2136" spans="1:7" ht="13.5">
      <c r="A2136" s="7">
        <v>2134</v>
      </c>
      <c r="B2136" s="8" t="str">
        <f>"2341202009082256162183"</f>
        <v>2341202009082256162183</v>
      </c>
      <c r="C2136" s="8" t="s">
        <v>10</v>
      </c>
      <c r="D2136" s="8" t="str">
        <f>"符琳琳"</f>
        <v>符琳琳</v>
      </c>
      <c r="E2136" s="8" t="str">
        <f t="shared" si="88"/>
        <v>女</v>
      </c>
      <c r="F2136" s="8" t="str">
        <f>"1992-07-14"</f>
        <v>1992-07-14</v>
      </c>
      <c r="G2136" s="9"/>
    </row>
    <row r="2137" spans="1:7" ht="13.5">
      <c r="A2137" s="7">
        <v>2135</v>
      </c>
      <c r="B2137" s="8" t="str">
        <f>"2341202009082258222184"</f>
        <v>2341202009082258222184</v>
      </c>
      <c r="C2137" s="8" t="s">
        <v>10</v>
      </c>
      <c r="D2137" s="8" t="str">
        <f>"冼慧敏"</f>
        <v>冼慧敏</v>
      </c>
      <c r="E2137" s="8" t="str">
        <f t="shared" si="88"/>
        <v>女</v>
      </c>
      <c r="F2137" s="8" t="str">
        <f>"1990-03-11"</f>
        <v>1990-03-11</v>
      </c>
      <c r="G2137" s="9"/>
    </row>
    <row r="2138" spans="1:7" ht="13.5">
      <c r="A2138" s="7">
        <v>2136</v>
      </c>
      <c r="B2138" s="8" t="str">
        <f>"2341202009090821492194"</f>
        <v>2341202009090821492194</v>
      </c>
      <c r="C2138" s="8" t="s">
        <v>10</v>
      </c>
      <c r="D2138" s="8" t="str">
        <f>"瞿刚琴"</f>
        <v>瞿刚琴</v>
      </c>
      <c r="E2138" s="8" t="str">
        <f t="shared" si="88"/>
        <v>女</v>
      </c>
      <c r="F2138" s="8" t="str">
        <f>"1994-12-12"</f>
        <v>1994-12-12</v>
      </c>
      <c r="G2138" s="9"/>
    </row>
    <row r="2139" spans="1:7" ht="13.5">
      <c r="A2139" s="7">
        <v>2137</v>
      </c>
      <c r="B2139" s="8" t="str">
        <f>"2341202009090844152201"</f>
        <v>2341202009090844152201</v>
      </c>
      <c r="C2139" s="8" t="s">
        <v>10</v>
      </c>
      <c r="D2139" s="8" t="str">
        <f>"海若诗"</f>
        <v>海若诗</v>
      </c>
      <c r="E2139" s="8" t="str">
        <f t="shared" si="88"/>
        <v>女</v>
      </c>
      <c r="F2139" s="8" t="str">
        <f>"1996-10-08"</f>
        <v>1996-10-08</v>
      </c>
      <c r="G2139" s="9"/>
    </row>
    <row r="2140" spans="1:7" ht="13.5">
      <c r="A2140" s="7">
        <v>2138</v>
      </c>
      <c r="B2140" s="8" t="str">
        <f>"2341202009090905402203"</f>
        <v>2341202009090905402203</v>
      </c>
      <c r="C2140" s="8" t="s">
        <v>10</v>
      </c>
      <c r="D2140" s="8" t="str">
        <f>"韩海霞"</f>
        <v>韩海霞</v>
      </c>
      <c r="E2140" s="8" t="str">
        <f t="shared" si="88"/>
        <v>女</v>
      </c>
      <c r="F2140" s="8" t="str">
        <f>"1990-03-10"</f>
        <v>1990-03-10</v>
      </c>
      <c r="G2140" s="9"/>
    </row>
    <row r="2141" spans="1:7" ht="13.5">
      <c r="A2141" s="7">
        <v>2139</v>
      </c>
      <c r="B2141" s="8" t="str">
        <f>"2341202009090932472211"</f>
        <v>2341202009090932472211</v>
      </c>
      <c r="C2141" s="8" t="s">
        <v>10</v>
      </c>
      <c r="D2141" s="8" t="str">
        <f>"关远琴"</f>
        <v>关远琴</v>
      </c>
      <c r="E2141" s="8" t="str">
        <f t="shared" si="88"/>
        <v>女</v>
      </c>
      <c r="F2141" s="8" t="str">
        <f>"1992-06-28"</f>
        <v>1992-06-28</v>
      </c>
      <c r="G2141" s="9"/>
    </row>
    <row r="2142" spans="1:7" ht="13.5">
      <c r="A2142" s="7">
        <v>2140</v>
      </c>
      <c r="B2142" s="8" t="str">
        <f>"2341202009091001092218"</f>
        <v>2341202009091001092218</v>
      </c>
      <c r="C2142" s="8" t="s">
        <v>10</v>
      </c>
      <c r="D2142" s="8" t="str">
        <f>"王一伊"</f>
        <v>王一伊</v>
      </c>
      <c r="E2142" s="8" t="str">
        <f t="shared" si="88"/>
        <v>女</v>
      </c>
      <c r="F2142" s="8" t="str">
        <f>"1997-04-16"</f>
        <v>1997-04-16</v>
      </c>
      <c r="G2142" s="9"/>
    </row>
    <row r="2143" spans="1:7" ht="13.5">
      <c r="A2143" s="7">
        <v>2141</v>
      </c>
      <c r="B2143" s="8" t="str">
        <f>"2341202009091006262219"</f>
        <v>2341202009091006262219</v>
      </c>
      <c r="C2143" s="8" t="s">
        <v>10</v>
      </c>
      <c r="D2143" s="8" t="str">
        <f>"王玉霞"</f>
        <v>王玉霞</v>
      </c>
      <c r="E2143" s="8" t="str">
        <f t="shared" si="88"/>
        <v>女</v>
      </c>
      <c r="F2143" s="8" t="str">
        <f>"1993-01-15"</f>
        <v>1993-01-15</v>
      </c>
      <c r="G2143" s="9"/>
    </row>
    <row r="2144" spans="1:7" ht="13.5">
      <c r="A2144" s="7">
        <v>2142</v>
      </c>
      <c r="B2144" s="8" t="str">
        <f>"2341202009091016462223"</f>
        <v>2341202009091016462223</v>
      </c>
      <c r="C2144" s="8" t="s">
        <v>10</v>
      </c>
      <c r="D2144" s="8" t="str">
        <f>"吴兴洁"</f>
        <v>吴兴洁</v>
      </c>
      <c r="E2144" s="8" t="str">
        <f t="shared" si="88"/>
        <v>女</v>
      </c>
      <c r="F2144" s="8" t="str">
        <f>"1991-08-25"</f>
        <v>1991-08-25</v>
      </c>
      <c r="G2144" s="9"/>
    </row>
    <row r="2145" spans="1:7" ht="13.5">
      <c r="A2145" s="7">
        <v>2143</v>
      </c>
      <c r="B2145" s="8" t="str">
        <f>"2341202009091045042232"</f>
        <v>2341202009091045042232</v>
      </c>
      <c r="C2145" s="8" t="s">
        <v>10</v>
      </c>
      <c r="D2145" s="8" t="str">
        <f>"翁小莉"</f>
        <v>翁小莉</v>
      </c>
      <c r="E2145" s="8" t="str">
        <f t="shared" si="88"/>
        <v>女</v>
      </c>
      <c r="F2145" s="8" t="str">
        <f>"1988-10-20"</f>
        <v>1988-10-20</v>
      </c>
      <c r="G2145" s="9"/>
    </row>
    <row r="2146" spans="1:7" ht="13.5">
      <c r="A2146" s="7">
        <v>2144</v>
      </c>
      <c r="B2146" s="8" t="str">
        <f>"2341202009091046482233"</f>
        <v>2341202009091046482233</v>
      </c>
      <c r="C2146" s="8" t="s">
        <v>10</v>
      </c>
      <c r="D2146" s="8" t="str">
        <f>"张晓翠"</f>
        <v>张晓翠</v>
      </c>
      <c r="E2146" s="8" t="str">
        <f t="shared" si="88"/>
        <v>女</v>
      </c>
      <c r="F2146" s="8" t="str">
        <f>"1988-09-20"</f>
        <v>1988-09-20</v>
      </c>
      <c r="G2146" s="9"/>
    </row>
    <row r="2147" spans="1:7" ht="13.5">
      <c r="A2147" s="7">
        <v>2145</v>
      </c>
      <c r="B2147" s="8" t="str">
        <f>"2341202009091141492239"</f>
        <v>2341202009091141492239</v>
      </c>
      <c r="C2147" s="8" t="s">
        <v>10</v>
      </c>
      <c r="D2147" s="8" t="str">
        <f>"李东洋"</f>
        <v>李东洋</v>
      </c>
      <c r="E2147" s="8" t="str">
        <f t="shared" si="88"/>
        <v>女</v>
      </c>
      <c r="F2147" s="8" t="str">
        <f>"1988-03-02"</f>
        <v>1988-03-02</v>
      </c>
      <c r="G2147" s="9"/>
    </row>
    <row r="2148" spans="1:7" ht="13.5">
      <c r="A2148" s="7">
        <v>2146</v>
      </c>
      <c r="B2148" s="8" t="str">
        <f>"2341202009091157152242"</f>
        <v>2341202009091157152242</v>
      </c>
      <c r="C2148" s="8" t="s">
        <v>10</v>
      </c>
      <c r="D2148" s="8" t="str">
        <f>"潘宏"</f>
        <v>潘宏</v>
      </c>
      <c r="E2148" s="8" t="str">
        <f t="shared" si="88"/>
        <v>女</v>
      </c>
      <c r="F2148" s="8" t="str">
        <f>"1993-05-03"</f>
        <v>1993-05-03</v>
      </c>
      <c r="G2148" s="9"/>
    </row>
    <row r="2149" spans="1:7" ht="13.5">
      <c r="A2149" s="7">
        <v>2147</v>
      </c>
      <c r="B2149" s="8" t="str">
        <f>"2341202009091602102275"</f>
        <v>2341202009091602102275</v>
      </c>
      <c r="C2149" s="8" t="s">
        <v>10</v>
      </c>
      <c r="D2149" s="8" t="str">
        <f>"唐壮玲"</f>
        <v>唐壮玲</v>
      </c>
      <c r="E2149" s="8" t="str">
        <f t="shared" si="88"/>
        <v>女</v>
      </c>
      <c r="F2149" s="8" t="str">
        <f>"1994-09-20"</f>
        <v>1994-09-20</v>
      </c>
      <c r="G2149" s="9"/>
    </row>
    <row r="2150" spans="1:7" ht="13.5">
      <c r="A2150" s="7">
        <v>2148</v>
      </c>
      <c r="B2150" s="8" t="str">
        <f>"2341202009091614292276"</f>
        <v>2341202009091614292276</v>
      </c>
      <c r="C2150" s="8" t="s">
        <v>10</v>
      </c>
      <c r="D2150" s="8" t="str">
        <f>"林萃芬"</f>
        <v>林萃芬</v>
      </c>
      <c r="E2150" s="8" t="str">
        <f t="shared" si="88"/>
        <v>女</v>
      </c>
      <c r="F2150" s="8" t="str">
        <f>"1988-05-30"</f>
        <v>1988-05-30</v>
      </c>
      <c r="G2150" s="9"/>
    </row>
    <row r="2151" spans="1:7" ht="13.5">
      <c r="A2151" s="7">
        <v>2149</v>
      </c>
      <c r="B2151" s="8" t="str">
        <f>"2341202009091653432280"</f>
        <v>2341202009091653432280</v>
      </c>
      <c r="C2151" s="8" t="s">
        <v>10</v>
      </c>
      <c r="D2151" s="8" t="str">
        <f>"陈雪柔"</f>
        <v>陈雪柔</v>
      </c>
      <c r="E2151" s="8" t="str">
        <f t="shared" si="88"/>
        <v>女</v>
      </c>
      <c r="F2151" s="8" t="str">
        <f>"1994-02-04"</f>
        <v>1994-02-04</v>
      </c>
      <c r="G2151" s="9"/>
    </row>
    <row r="2152" spans="1:7" ht="13.5">
      <c r="A2152" s="7">
        <v>2150</v>
      </c>
      <c r="B2152" s="8" t="str">
        <f>"2341202009091747152294"</f>
        <v>2341202009091747152294</v>
      </c>
      <c r="C2152" s="8" t="s">
        <v>10</v>
      </c>
      <c r="D2152" s="8" t="str">
        <f>"曾倩倩"</f>
        <v>曾倩倩</v>
      </c>
      <c r="E2152" s="8" t="str">
        <f t="shared" si="88"/>
        <v>女</v>
      </c>
      <c r="F2152" s="8" t="str">
        <f>"1996-02-01"</f>
        <v>1996-02-01</v>
      </c>
      <c r="G2152" s="9"/>
    </row>
    <row r="2153" spans="1:7" ht="13.5">
      <c r="A2153" s="7">
        <v>2151</v>
      </c>
      <c r="B2153" s="8" t="str">
        <f>"2341202009091833142300"</f>
        <v>2341202009091833142300</v>
      </c>
      <c r="C2153" s="8" t="s">
        <v>10</v>
      </c>
      <c r="D2153" s="8" t="str">
        <f>"温清钰"</f>
        <v>温清钰</v>
      </c>
      <c r="E2153" s="8" t="str">
        <f t="shared" si="88"/>
        <v>女</v>
      </c>
      <c r="F2153" s="8" t="str">
        <f>"1998-01-28"</f>
        <v>1998-01-28</v>
      </c>
      <c r="G2153" s="9"/>
    </row>
    <row r="2154" spans="1:7" ht="13.5">
      <c r="A2154" s="7">
        <v>2152</v>
      </c>
      <c r="B2154" s="8" t="str">
        <f>"2341202009091838002301"</f>
        <v>2341202009091838002301</v>
      </c>
      <c r="C2154" s="8" t="s">
        <v>10</v>
      </c>
      <c r="D2154" s="8" t="str">
        <f>"李祝秀"</f>
        <v>李祝秀</v>
      </c>
      <c r="E2154" s="8" t="str">
        <f t="shared" si="88"/>
        <v>女</v>
      </c>
      <c r="F2154" s="8" t="str">
        <f>"1990-12-18"</f>
        <v>1990-12-18</v>
      </c>
      <c r="G2154" s="9"/>
    </row>
    <row r="2155" spans="1:7" ht="13.5">
      <c r="A2155" s="7">
        <v>2153</v>
      </c>
      <c r="B2155" s="8" t="str">
        <f>"2341202009091943052307"</f>
        <v>2341202009091943052307</v>
      </c>
      <c r="C2155" s="8" t="s">
        <v>10</v>
      </c>
      <c r="D2155" s="8" t="str">
        <f>"孙雯"</f>
        <v>孙雯</v>
      </c>
      <c r="E2155" s="8" t="str">
        <f t="shared" si="88"/>
        <v>女</v>
      </c>
      <c r="F2155" s="8" t="str">
        <f>"1988-08-25"</f>
        <v>1988-08-25</v>
      </c>
      <c r="G2155" s="9"/>
    </row>
    <row r="2156" spans="1:7" ht="13.5">
      <c r="A2156" s="7">
        <v>2154</v>
      </c>
      <c r="B2156" s="8" t="str">
        <f>"2341202009092027392313"</f>
        <v>2341202009092027392313</v>
      </c>
      <c r="C2156" s="8" t="s">
        <v>10</v>
      </c>
      <c r="D2156" s="8" t="str">
        <f>"邢冬银"</f>
        <v>邢冬银</v>
      </c>
      <c r="E2156" s="8" t="str">
        <f t="shared" si="88"/>
        <v>女</v>
      </c>
      <c r="F2156" s="8" t="str">
        <f>"1997-12-08"</f>
        <v>1997-12-08</v>
      </c>
      <c r="G2156" s="9"/>
    </row>
    <row r="2157" spans="1:7" ht="13.5">
      <c r="A2157" s="7">
        <v>2155</v>
      </c>
      <c r="B2157" s="8" t="str">
        <f>"2341202009092048592315"</f>
        <v>2341202009092048592315</v>
      </c>
      <c r="C2157" s="8" t="s">
        <v>10</v>
      </c>
      <c r="D2157" s="8" t="str">
        <f>"陈逗逗"</f>
        <v>陈逗逗</v>
      </c>
      <c r="E2157" s="8" t="str">
        <f t="shared" si="88"/>
        <v>女</v>
      </c>
      <c r="F2157" s="8" t="str">
        <f>"1990-12-13"</f>
        <v>1990-12-13</v>
      </c>
      <c r="G2157" s="9"/>
    </row>
    <row r="2158" spans="1:7" ht="13.5">
      <c r="A2158" s="7">
        <v>2156</v>
      </c>
      <c r="B2158" s="8" t="str">
        <f>"2341202009092139412322"</f>
        <v>2341202009092139412322</v>
      </c>
      <c r="C2158" s="8" t="s">
        <v>10</v>
      </c>
      <c r="D2158" s="8" t="str">
        <f>"李小兰"</f>
        <v>李小兰</v>
      </c>
      <c r="E2158" s="8" t="str">
        <f t="shared" si="88"/>
        <v>女</v>
      </c>
      <c r="F2158" s="8" t="str">
        <f>"1996-11-07"</f>
        <v>1996-11-07</v>
      </c>
      <c r="G2158" s="9"/>
    </row>
    <row r="2159" spans="1:7" ht="13.5">
      <c r="A2159" s="7">
        <v>2157</v>
      </c>
      <c r="B2159" s="8" t="str">
        <f>"2341202009092142022323"</f>
        <v>2341202009092142022323</v>
      </c>
      <c r="C2159" s="8" t="s">
        <v>10</v>
      </c>
      <c r="D2159" s="8" t="str">
        <f>"蔡亚燕"</f>
        <v>蔡亚燕</v>
      </c>
      <c r="E2159" s="8" t="str">
        <f aca="true" t="shared" si="89" ref="E2159:E2176">"女"</f>
        <v>女</v>
      </c>
      <c r="F2159" s="8" t="str">
        <f>"1990-06-05"</f>
        <v>1990-06-05</v>
      </c>
      <c r="G2159" s="9"/>
    </row>
    <row r="2160" spans="1:7" ht="13.5">
      <c r="A2160" s="7">
        <v>2158</v>
      </c>
      <c r="B2160" s="8" t="str">
        <f>"2341202009092145152327"</f>
        <v>2341202009092145152327</v>
      </c>
      <c r="C2160" s="8" t="s">
        <v>10</v>
      </c>
      <c r="D2160" s="8" t="str">
        <f>"雷春香"</f>
        <v>雷春香</v>
      </c>
      <c r="E2160" s="8" t="str">
        <f t="shared" si="89"/>
        <v>女</v>
      </c>
      <c r="F2160" s="8" t="str">
        <f>"1987-07-15"</f>
        <v>1987-07-15</v>
      </c>
      <c r="G2160" s="9"/>
    </row>
    <row r="2161" spans="1:7" ht="13.5">
      <c r="A2161" s="7">
        <v>2159</v>
      </c>
      <c r="B2161" s="8" t="str">
        <f>"2341202009092256082333"</f>
        <v>2341202009092256082333</v>
      </c>
      <c r="C2161" s="8" t="s">
        <v>10</v>
      </c>
      <c r="D2161" s="8" t="str">
        <f>"苏文需"</f>
        <v>苏文需</v>
      </c>
      <c r="E2161" s="8" t="str">
        <f t="shared" si="89"/>
        <v>女</v>
      </c>
      <c r="F2161" s="8" t="str">
        <f>"1990-10-28"</f>
        <v>1990-10-28</v>
      </c>
      <c r="G2161" s="9"/>
    </row>
    <row r="2162" spans="1:7" ht="13.5">
      <c r="A2162" s="7">
        <v>2160</v>
      </c>
      <c r="B2162" s="8" t="str">
        <f>"2341202009100849132346"</f>
        <v>2341202009100849132346</v>
      </c>
      <c r="C2162" s="8" t="s">
        <v>10</v>
      </c>
      <c r="D2162" s="8" t="str">
        <f>"陈文萃"</f>
        <v>陈文萃</v>
      </c>
      <c r="E2162" s="8" t="str">
        <f t="shared" si="89"/>
        <v>女</v>
      </c>
      <c r="F2162" s="8" t="str">
        <f>"1991-05-12"</f>
        <v>1991-05-12</v>
      </c>
      <c r="G2162" s="9"/>
    </row>
    <row r="2163" spans="1:7" ht="13.5">
      <c r="A2163" s="7">
        <v>2161</v>
      </c>
      <c r="B2163" s="8" t="str">
        <f>"2341202009101048002371"</f>
        <v>2341202009101048002371</v>
      </c>
      <c r="C2163" s="8" t="s">
        <v>10</v>
      </c>
      <c r="D2163" s="8" t="str">
        <f>"王燕妮"</f>
        <v>王燕妮</v>
      </c>
      <c r="E2163" s="8" t="str">
        <f t="shared" si="89"/>
        <v>女</v>
      </c>
      <c r="F2163" s="8" t="str">
        <f>"1993-02-03"</f>
        <v>1993-02-03</v>
      </c>
      <c r="G2163" s="9"/>
    </row>
    <row r="2164" spans="1:7" ht="13.5">
      <c r="A2164" s="7">
        <v>2162</v>
      </c>
      <c r="B2164" s="8" t="str">
        <f>"2341202009101104322375"</f>
        <v>2341202009101104322375</v>
      </c>
      <c r="C2164" s="8" t="s">
        <v>10</v>
      </c>
      <c r="D2164" s="8" t="str">
        <f>"许小拿"</f>
        <v>许小拿</v>
      </c>
      <c r="E2164" s="8" t="str">
        <f t="shared" si="89"/>
        <v>女</v>
      </c>
      <c r="F2164" s="8" t="str">
        <f>"1993-07-03"</f>
        <v>1993-07-03</v>
      </c>
      <c r="G2164" s="9"/>
    </row>
    <row r="2165" spans="1:7" ht="13.5">
      <c r="A2165" s="7">
        <v>2163</v>
      </c>
      <c r="B2165" s="8" t="str">
        <f>"2341202009101456232393"</f>
        <v>2341202009101456232393</v>
      </c>
      <c r="C2165" s="8" t="s">
        <v>10</v>
      </c>
      <c r="D2165" s="8" t="str">
        <f>"杜丽敏"</f>
        <v>杜丽敏</v>
      </c>
      <c r="E2165" s="8" t="str">
        <f t="shared" si="89"/>
        <v>女</v>
      </c>
      <c r="F2165" s="8" t="str">
        <f>"1997-06-17"</f>
        <v>1997-06-17</v>
      </c>
      <c r="G2165" s="9"/>
    </row>
    <row r="2166" spans="1:7" ht="13.5">
      <c r="A2166" s="7">
        <v>2164</v>
      </c>
      <c r="B2166" s="8" t="str">
        <f>"2341202009101613152405"</f>
        <v>2341202009101613152405</v>
      </c>
      <c r="C2166" s="8" t="s">
        <v>10</v>
      </c>
      <c r="D2166" s="8" t="str">
        <f>"李如玉"</f>
        <v>李如玉</v>
      </c>
      <c r="E2166" s="8" t="str">
        <f t="shared" si="89"/>
        <v>女</v>
      </c>
      <c r="F2166" s="8" t="str">
        <f>"1995-02-07"</f>
        <v>1995-02-07</v>
      </c>
      <c r="G2166" s="9"/>
    </row>
    <row r="2167" spans="1:7" ht="13.5">
      <c r="A2167" s="7">
        <v>2165</v>
      </c>
      <c r="B2167" s="8" t="str">
        <f>"2341202009101651552407"</f>
        <v>2341202009101651552407</v>
      </c>
      <c r="C2167" s="8" t="s">
        <v>10</v>
      </c>
      <c r="D2167" s="8" t="str">
        <f>"谭双英"</f>
        <v>谭双英</v>
      </c>
      <c r="E2167" s="8" t="str">
        <f t="shared" si="89"/>
        <v>女</v>
      </c>
      <c r="F2167" s="8" t="str">
        <f>"1987-08-23"</f>
        <v>1987-08-23</v>
      </c>
      <c r="G2167" s="9"/>
    </row>
    <row r="2168" spans="1:7" ht="13.5">
      <c r="A2168" s="7">
        <v>2166</v>
      </c>
      <c r="B2168" s="8" t="str">
        <f>"2341202009101807422418"</f>
        <v>2341202009101807422418</v>
      </c>
      <c r="C2168" s="8" t="s">
        <v>10</v>
      </c>
      <c r="D2168" s="8" t="str">
        <f>"雷媛媛"</f>
        <v>雷媛媛</v>
      </c>
      <c r="E2168" s="8" t="str">
        <f t="shared" si="89"/>
        <v>女</v>
      </c>
      <c r="F2168" s="8" t="str">
        <f>"1992-07-03"</f>
        <v>1992-07-03</v>
      </c>
      <c r="G2168" s="9"/>
    </row>
    <row r="2169" spans="1:7" ht="13.5">
      <c r="A2169" s="7">
        <v>2167</v>
      </c>
      <c r="B2169" s="8" t="str">
        <f>"2341202009101814112419"</f>
        <v>2341202009101814112419</v>
      </c>
      <c r="C2169" s="8" t="s">
        <v>10</v>
      </c>
      <c r="D2169" s="8" t="str">
        <f>"陈美焕"</f>
        <v>陈美焕</v>
      </c>
      <c r="E2169" s="8" t="str">
        <f t="shared" si="89"/>
        <v>女</v>
      </c>
      <c r="F2169" s="8" t="str">
        <f>"1994-01-10"</f>
        <v>1994-01-10</v>
      </c>
      <c r="G2169" s="9"/>
    </row>
    <row r="2170" spans="1:7" ht="13.5">
      <c r="A2170" s="7">
        <v>2168</v>
      </c>
      <c r="B2170" s="8" t="str">
        <f>"2341202009101917102424"</f>
        <v>2341202009101917102424</v>
      </c>
      <c r="C2170" s="8" t="s">
        <v>10</v>
      </c>
      <c r="D2170" s="8" t="str">
        <f>"唐容"</f>
        <v>唐容</v>
      </c>
      <c r="E2170" s="8" t="str">
        <f t="shared" si="89"/>
        <v>女</v>
      </c>
      <c r="F2170" s="8" t="str">
        <f>"1996-09-06"</f>
        <v>1996-09-06</v>
      </c>
      <c r="G2170" s="9"/>
    </row>
    <row r="2171" spans="1:7" ht="13.5">
      <c r="A2171" s="7">
        <v>2169</v>
      </c>
      <c r="B2171" s="8" t="str">
        <f>"2341202009102110092436"</f>
        <v>2341202009102110092436</v>
      </c>
      <c r="C2171" s="8" t="s">
        <v>10</v>
      </c>
      <c r="D2171" s="8" t="str">
        <f>"吴舒雅"</f>
        <v>吴舒雅</v>
      </c>
      <c r="E2171" s="8" t="str">
        <f t="shared" si="89"/>
        <v>女</v>
      </c>
      <c r="F2171" s="8" t="str">
        <f>"1994-05-04"</f>
        <v>1994-05-04</v>
      </c>
      <c r="G2171" s="9"/>
    </row>
    <row r="2172" spans="1:7" ht="13.5">
      <c r="A2172" s="7">
        <v>2170</v>
      </c>
      <c r="B2172" s="8" t="str">
        <f>"2341202009102149402445"</f>
        <v>2341202009102149402445</v>
      </c>
      <c r="C2172" s="8" t="s">
        <v>10</v>
      </c>
      <c r="D2172" s="8" t="str">
        <f>"翁李丽"</f>
        <v>翁李丽</v>
      </c>
      <c r="E2172" s="8" t="str">
        <f t="shared" si="89"/>
        <v>女</v>
      </c>
      <c r="F2172" s="8" t="str">
        <f>"1996-01-18"</f>
        <v>1996-01-18</v>
      </c>
      <c r="G2172" s="9"/>
    </row>
    <row r="2173" spans="1:7" ht="13.5">
      <c r="A2173" s="7">
        <v>2171</v>
      </c>
      <c r="B2173" s="8" t="str">
        <f>"2341202009102156402448"</f>
        <v>2341202009102156402448</v>
      </c>
      <c r="C2173" s="8" t="s">
        <v>10</v>
      </c>
      <c r="D2173" s="8" t="str">
        <f>"王叶"</f>
        <v>王叶</v>
      </c>
      <c r="E2173" s="8" t="str">
        <f t="shared" si="89"/>
        <v>女</v>
      </c>
      <c r="F2173" s="8" t="str">
        <f>"1997-09-10"</f>
        <v>1997-09-10</v>
      </c>
      <c r="G2173" s="9"/>
    </row>
    <row r="2174" spans="1:7" ht="13.5">
      <c r="A2174" s="7">
        <v>2172</v>
      </c>
      <c r="B2174" s="8" t="str">
        <f>"2341202009102217232455"</f>
        <v>2341202009102217232455</v>
      </c>
      <c r="C2174" s="8" t="s">
        <v>10</v>
      </c>
      <c r="D2174" s="8" t="str">
        <f>"邓夏菲"</f>
        <v>邓夏菲</v>
      </c>
      <c r="E2174" s="8" t="str">
        <f t="shared" si="89"/>
        <v>女</v>
      </c>
      <c r="F2174" s="8" t="str">
        <f>"1991-10-15"</f>
        <v>1991-10-15</v>
      </c>
      <c r="G2174" s="9"/>
    </row>
    <row r="2175" spans="1:7" ht="13.5">
      <c r="A2175" s="7">
        <v>2173</v>
      </c>
      <c r="B2175" s="8" t="str">
        <f>"2341202009110821572473"</f>
        <v>2341202009110821572473</v>
      </c>
      <c r="C2175" s="8" t="s">
        <v>10</v>
      </c>
      <c r="D2175" s="8" t="str">
        <f>"王培丽"</f>
        <v>王培丽</v>
      </c>
      <c r="E2175" s="8" t="str">
        <f t="shared" si="89"/>
        <v>女</v>
      </c>
      <c r="F2175" s="8" t="str">
        <f>"1995-02-16"</f>
        <v>1995-02-16</v>
      </c>
      <c r="G2175" s="9"/>
    </row>
    <row r="2176" spans="1:7" ht="13.5">
      <c r="A2176" s="7">
        <v>2174</v>
      </c>
      <c r="B2176" s="8" t="str">
        <f>"2341202009110853042476"</f>
        <v>2341202009110853042476</v>
      </c>
      <c r="C2176" s="8" t="s">
        <v>10</v>
      </c>
      <c r="D2176" s="8" t="str">
        <f>"符丽"</f>
        <v>符丽</v>
      </c>
      <c r="E2176" s="8" t="str">
        <f t="shared" si="89"/>
        <v>女</v>
      </c>
      <c r="F2176" s="8" t="str">
        <f>"1992-07-20"</f>
        <v>1992-07-20</v>
      </c>
      <c r="G2176" s="9"/>
    </row>
    <row r="2177" spans="1:7" ht="13.5">
      <c r="A2177" s="7">
        <v>2175</v>
      </c>
      <c r="B2177" s="8" t="str">
        <f>"2341202009110926362482"</f>
        <v>2341202009110926362482</v>
      </c>
      <c r="C2177" s="8" t="s">
        <v>10</v>
      </c>
      <c r="D2177" s="8" t="str">
        <f>"佘文昊"</f>
        <v>佘文昊</v>
      </c>
      <c r="E2177" s="8" t="str">
        <f>"男"</f>
        <v>男</v>
      </c>
      <c r="F2177" s="8" t="str">
        <f>"1997-10-31"</f>
        <v>1997-10-31</v>
      </c>
      <c r="G2177" s="9"/>
    </row>
    <row r="2178" spans="1:7" ht="13.5">
      <c r="A2178" s="7">
        <v>2176</v>
      </c>
      <c r="B2178" s="8" t="str">
        <f>"2341202009110943392486"</f>
        <v>2341202009110943392486</v>
      </c>
      <c r="C2178" s="8" t="s">
        <v>10</v>
      </c>
      <c r="D2178" s="8" t="str">
        <f>"陈一帆"</f>
        <v>陈一帆</v>
      </c>
      <c r="E2178" s="8" t="str">
        <f aca="true" t="shared" si="90" ref="E2178:E2209">"女"</f>
        <v>女</v>
      </c>
      <c r="F2178" s="8" t="str">
        <f>"1990-01-21"</f>
        <v>1990-01-21</v>
      </c>
      <c r="G2178" s="9"/>
    </row>
    <row r="2179" spans="1:7" ht="13.5">
      <c r="A2179" s="7">
        <v>2177</v>
      </c>
      <c r="B2179" s="8" t="str">
        <f>"2341202009110956132489"</f>
        <v>2341202009110956132489</v>
      </c>
      <c r="C2179" s="8" t="s">
        <v>10</v>
      </c>
      <c r="D2179" s="8" t="str">
        <f>"纪小丽"</f>
        <v>纪小丽</v>
      </c>
      <c r="E2179" s="8" t="str">
        <f t="shared" si="90"/>
        <v>女</v>
      </c>
      <c r="F2179" s="8" t="str">
        <f>"1989-08-29"</f>
        <v>1989-08-29</v>
      </c>
      <c r="G2179" s="9"/>
    </row>
    <row r="2180" spans="1:7" ht="13.5">
      <c r="A2180" s="7">
        <v>2178</v>
      </c>
      <c r="B2180" s="8" t="str">
        <f>"2341202009111010362497"</f>
        <v>2341202009111010362497</v>
      </c>
      <c r="C2180" s="8" t="s">
        <v>10</v>
      </c>
      <c r="D2180" s="8" t="str">
        <f>"刘思妍"</f>
        <v>刘思妍</v>
      </c>
      <c r="E2180" s="8" t="str">
        <f t="shared" si="90"/>
        <v>女</v>
      </c>
      <c r="F2180" s="8" t="str">
        <f>"1997-11-15"</f>
        <v>1997-11-15</v>
      </c>
      <c r="G2180" s="9"/>
    </row>
    <row r="2181" spans="1:7" ht="13.5">
      <c r="A2181" s="7">
        <v>2179</v>
      </c>
      <c r="B2181" s="8" t="str">
        <f>"2341202009111023582498"</f>
        <v>2341202009111023582498</v>
      </c>
      <c r="C2181" s="8" t="s">
        <v>10</v>
      </c>
      <c r="D2181" s="8" t="str">
        <f>"黄彩英"</f>
        <v>黄彩英</v>
      </c>
      <c r="E2181" s="8" t="str">
        <f t="shared" si="90"/>
        <v>女</v>
      </c>
      <c r="F2181" s="8" t="str">
        <f>"1993-04-12"</f>
        <v>1993-04-12</v>
      </c>
      <c r="G2181" s="9"/>
    </row>
    <row r="2182" spans="1:7" ht="13.5">
      <c r="A2182" s="7">
        <v>2180</v>
      </c>
      <c r="B2182" s="8" t="str">
        <f>"2341202009111049192502"</f>
        <v>2341202009111049192502</v>
      </c>
      <c r="C2182" s="8" t="s">
        <v>10</v>
      </c>
      <c r="D2182" s="8" t="str">
        <f>"陈磊"</f>
        <v>陈磊</v>
      </c>
      <c r="E2182" s="8" t="str">
        <f t="shared" si="90"/>
        <v>女</v>
      </c>
      <c r="F2182" s="8" t="str">
        <f>"1995-07-07"</f>
        <v>1995-07-07</v>
      </c>
      <c r="G2182" s="9"/>
    </row>
    <row r="2183" spans="1:7" ht="13.5">
      <c r="A2183" s="7">
        <v>2181</v>
      </c>
      <c r="B2183" s="8" t="str">
        <f>"2341202009111057162504"</f>
        <v>2341202009111057162504</v>
      </c>
      <c r="C2183" s="8" t="s">
        <v>10</v>
      </c>
      <c r="D2183" s="8" t="str">
        <f>"王雪连"</f>
        <v>王雪连</v>
      </c>
      <c r="E2183" s="8" t="str">
        <f t="shared" si="90"/>
        <v>女</v>
      </c>
      <c r="F2183" s="8" t="str">
        <f>"1994-11-10"</f>
        <v>1994-11-10</v>
      </c>
      <c r="G2183" s="9"/>
    </row>
    <row r="2184" spans="1:7" ht="13.5">
      <c r="A2184" s="7">
        <v>2182</v>
      </c>
      <c r="B2184" s="8" t="str">
        <f>"2341202009111112182505"</f>
        <v>2341202009111112182505</v>
      </c>
      <c r="C2184" s="8" t="s">
        <v>10</v>
      </c>
      <c r="D2184" s="8" t="str">
        <f>"王萍"</f>
        <v>王萍</v>
      </c>
      <c r="E2184" s="8" t="str">
        <f t="shared" si="90"/>
        <v>女</v>
      </c>
      <c r="F2184" s="8" t="str">
        <f>"1997-12-16"</f>
        <v>1997-12-16</v>
      </c>
      <c r="G2184" s="9"/>
    </row>
    <row r="2185" spans="1:7" ht="13.5">
      <c r="A2185" s="7">
        <v>2183</v>
      </c>
      <c r="B2185" s="8" t="str">
        <f>"2341202009111123532507"</f>
        <v>2341202009111123532507</v>
      </c>
      <c r="C2185" s="8" t="s">
        <v>10</v>
      </c>
      <c r="D2185" s="8" t="str">
        <f>"林婷"</f>
        <v>林婷</v>
      </c>
      <c r="E2185" s="8" t="str">
        <f t="shared" si="90"/>
        <v>女</v>
      </c>
      <c r="F2185" s="8" t="str">
        <f>"1993-01-03"</f>
        <v>1993-01-03</v>
      </c>
      <c r="G2185" s="9"/>
    </row>
    <row r="2186" spans="1:7" ht="13.5">
      <c r="A2186" s="7">
        <v>2184</v>
      </c>
      <c r="B2186" s="8" t="str">
        <f>"2341202009111138292510"</f>
        <v>2341202009111138292510</v>
      </c>
      <c r="C2186" s="8" t="s">
        <v>10</v>
      </c>
      <c r="D2186" s="8" t="str">
        <f>"谢碧青"</f>
        <v>谢碧青</v>
      </c>
      <c r="E2186" s="8" t="str">
        <f t="shared" si="90"/>
        <v>女</v>
      </c>
      <c r="F2186" s="8" t="str">
        <f>"1997-08-03"</f>
        <v>1997-08-03</v>
      </c>
      <c r="G2186" s="9"/>
    </row>
    <row r="2187" spans="1:7" ht="13.5">
      <c r="A2187" s="7">
        <v>2185</v>
      </c>
      <c r="B2187" s="8" t="str">
        <f>"2341202009111202392515"</f>
        <v>2341202009111202392515</v>
      </c>
      <c r="C2187" s="8" t="s">
        <v>10</v>
      </c>
      <c r="D2187" s="8" t="str">
        <f>"王娜"</f>
        <v>王娜</v>
      </c>
      <c r="E2187" s="8" t="str">
        <f t="shared" si="90"/>
        <v>女</v>
      </c>
      <c r="F2187" s="8" t="str">
        <f>"1996-04-17"</f>
        <v>1996-04-17</v>
      </c>
      <c r="G2187" s="9"/>
    </row>
    <row r="2188" spans="1:7" ht="13.5">
      <c r="A2188" s="7">
        <v>2186</v>
      </c>
      <c r="B2188" s="8" t="str">
        <f>"2341202009111337142525"</f>
        <v>2341202009111337142525</v>
      </c>
      <c r="C2188" s="8" t="s">
        <v>10</v>
      </c>
      <c r="D2188" s="8" t="str">
        <f>"方小芳"</f>
        <v>方小芳</v>
      </c>
      <c r="E2188" s="8" t="str">
        <f t="shared" si="90"/>
        <v>女</v>
      </c>
      <c r="F2188" s="8" t="str">
        <f>"1990-10-06"</f>
        <v>1990-10-06</v>
      </c>
      <c r="G2188" s="9"/>
    </row>
    <row r="2189" spans="1:7" ht="13.5">
      <c r="A2189" s="7">
        <v>2187</v>
      </c>
      <c r="B2189" s="8" t="str">
        <f>"2341202009111350102526"</f>
        <v>2341202009111350102526</v>
      </c>
      <c r="C2189" s="8" t="s">
        <v>10</v>
      </c>
      <c r="D2189" s="8" t="str">
        <f>"陈娴"</f>
        <v>陈娴</v>
      </c>
      <c r="E2189" s="8" t="str">
        <f t="shared" si="90"/>
        <v>女</v>
      </c>
      <c r="F2189" s="8" t="str">
        <f>"1994-05-16"</f>
        <v>1994-05-16</v>
      </c>
      <c r="G2189" s="9"/>
    </row>
    <row r="2190" spans="1:7" ht="13.5">
      <c r="A2190" s="7">
        <v>2188</v>
      </c>
      <c r="B2190" s="8" t="str">
        <f>"2341202009111400312527"</f>
        <v>2341202009111400312527</v>
      </c>
      <c r="C2190" s="8" t="s">
        <v>10</v>
      </c>
      <c r="D2190" s="8" t="str">
        <f>"何岚"</f>
        <v>何岚</v>
      </c>
      <c r="E2190" s="8" t="str">
        <f t="shared" si="90"/>
        <v>女</v>
      </c>
      <c r="F2190" s="8" t="str">
        <f>"1989-04-14"</f>
        <v>1989-04-14</v>
      </c>
      <c r="G2190" s="9"/>
    </row>
    <row r="2191" spans="1:7" ht="13.5">
      <c r="A2191" s="7">
        <v>2189</v>
      </c>
      <c r="B2191" s="8" t="str">
        <f>"2341202009111422182529"</f>
        <v>2341202009111422182529</v>
      </c>
      <c r="C2191" s="8" t="s">
        <v>10</v>
      </c>
      <c r="D2191" s="8" t="str">
        <f>"李绘"</f>
        <v>李绘</v>
      </c>
      <c r="E2191" s="8" t="str">
        <f t="shared" si="90"/>
        <v>女</v>
      </c>
      <c r="F2191" s="8" t="str">
        <f>"1994-09-10"</f>
        <v>1994-09-10</v>
      </c>
      <c r="G2191" s="9"/>
    </row>
    <row r="2192" spans="1:7" ht="13.5">
      <c r="A2192" s="7">
        <v>2190</v>
      </c>
      <c r="B2192" s="8" t="str">
        <f>"2341202009111436462530"</f>
        <v>2341202009111436462530</v>
      </c>
      <c r="C2192" s="8" t="s">
        <v>10</v>
      </c>
      <c r="D2192" s="8" t="str">
        <f>"陈泰苑"</f>
        <v>陈泰苑</v>
      </c>
      <c r="E2192" s="8" t="str">
        <f t="shared" si="90"/>
        <v>女</v>
      </c>
      <c r="F2192" s="8" t="str">
        <f>"1993-08-13"</f>
        <v>1993-08-13</v>
      </c>
      <c r="G2192" s="9"/>
    </row>
    <row r="2193" spans="1:7" ht="13.5">
      <c r="A2193" s="7">
        <v>2191</v>
      </c>
      <c r="B2193" s="8" t="str">
        <f>"2341202009111515512535"</f>
        <v>2341202009111515512535</v>
      </c>
      <c r="C2193" s="8" t="s">
        <v>10</v>
      </c>
      <c r="D2193" s="8" t="str">
        <f>"林超"</f>
        <v>林超</v>
      </c>
      <c r="E2193" s="8" t="str">
        <f t="shared" si="90"/>
        <v>女</v>
      </c>
      <c r="F2193" s="8" t="str">
        <f>"1993-06-10"</f>
        <v>1993-06-10</v>
      </c>
      <c r="G2193" s="9"/>
    </row>
    <row r="2194" spans="1:7" ht="13.5">
      <c r="A2194" s="7">
        <v>2192</v>
      </c>
      <c r="B2194" s="8" t="str">
        <f>"2341202009111549282543"</f>
        <v>2341202009111549282543</v>
      </c>
      <c r="C2194" s="8" t="s">
        <v>10</v>
      </c>
      <c r="D2194" s="8" t="str">
        <f>"杨珍"</f>
        <v>杨珍</v>
      </c>
      <c r="E2194" s="8" t="str">
        <f t="shared" si="90"/>
        <v>女</v>
      </c>
      <c r="F2194" s="8" t="str">
        <f>"1990-06-22"</f>
        <v>1990-06-22</v>
      </c>
      <c r="G2194" s="9"/>
    </row>
    <row r="2195" spans="1:7" ht="13.5">
      <c r="A2195" s="7">
        <v>2193</v>
      </c>
      <c r="B2195" s="8" t="str">
        <f>"2341202009111556182544"</f>
        <v>2341202009111556182544</v>
      </c>
      <c r="C2195" s="8" t="s">
        <v>10</v>
      </c>
      <c r="D2195" s="8" t="str">
        <f>"杨妹妹"</f>
        <v>杨妹妹</v>
      </c>
      <c r="E2195" s="8" t="str">
        <f t="shared" si="90"/>
        <v>女</v>
      </c>
      <c r="F2195" s="8" t="str">
        <f>"1992-06-13"</f>
        <v>1992-06-13</v>
      </c>
      <c r="G2195" s="9"/>
    </row>
    <row r="2196" spans="1:7" ht="13.5">
      <c r="A2196" s="7">
        <v>2194</v>
      </c>
      <c r="B2196" s="8" t="str">
        <f>"2341202009111616232550"</f>
        <v>2341202009111616232550</v>
      </c>
      <c r="C2196" s="8" t="s">
        <v>10</v>
      </c>
      <c r="D2196" s="8" t="str">
        <f>"赵艳宁"</f>
        <v>赵艳宁</v>
      </c>
      <c r="E2196" s="8" t="str">
        <f t="shared" si="90"/>
        <v>女</v>
      </c>
      <c r="F2196" s="8" t="str">
        <f>"1986-04-17"</f>
        <v>1986-04-17</v>
      </c>
      <c r="G2196" s="9"/>
    </row>
    <row r="2197" spans="1:7" ht="13.5">
      <c r="A2197" s="7">
        <v>2195</v>
      </c>
      <c r="B2197" s="8" t="str">
        <f>"2341202009111619172551"</f>
        <v>2341202009111619172551</v>
      </c>
      <c r="C2197" s="8" t="s">
        <v>10</v>
      </c>
      <c r="D2197" s="8" t="str">
        <f>"李琪"</f>
        <v>李琪</v>
      </c>
      <c r="E2197" s="8" t="str">
        <f t="shared" si="90"/>
        <v>女</v>
      </c>
      <c r="F2197" s="8" t="str">
        <f>"1984-09-01"</f>
        <v>1984-09-01</v>
      </c>
      <c r="G2197" s="9"/>
    </row>
    <row r="2198" spans="1:7" ht="13.5">
      <c r="A2198" s="7">
        <v>2196</v>
      </c>
      <c r="B2198" s="8" t="str">
        <f>"2341202009111633312555"</f>
        <v>2341202009111633312555</v>
      </c>
      <c r="C2198" s="8" t="s">
        <v>10</v>
      </c>
      <c r="D2198" s="8" t="str">
        <f>"吴玉霞"</f>
        <v>吴玉霞</v>
      </c>
      <c r="E2198" s="8" t="str">
        <f t="shared" si="90"/>
        <v>女</v>
      </c>
      <c r="F2198" s="8" t="str">
        <f>"1994-11-06"</f>
        <v>1994-11-06</v>
      </c>
      <c r="G2198" s="9"/>
    </row>
    <row r="2199" spans="1:7" ht="13.5">
      <c r="A2199" s="7">
        <v>2197</v>
      </c>
      <c r="B2199" s="8" t="str">
        <f>"2341202009111717562563"</f>
        <v>2341202009111717562563</v>
      </c>
      <c r="C2199" s="8" t="s">
        <v>10</v>
      </c>
      <c r="D2199" s="8" t="str">
        <f>"文坤婧"</f>
        <v>文坤婧</v>
      </c>
      <c r="E2199" s="8" t="str">
        <f t="shared" si="90"/>
        <v>女</v>
      </c>
      <c r="F2199" s="8" t="str">
        <f>"1989-11-29"</f>
        <v>1989-11-29</v>
      </c>
      <c r="G2199" s="9"/>
    </row>
    <row r="2200" spans="1:7" ht="13.5">
      <c r="A2200" s="7">
        <v>2198</v>
      </c>
      <c r="B2200" s="8" t="str">
        <f>"2341202009111728332564"</f>
        <v>2341202009111728332564</v>
      </c>
      <c r="C2200" s="8" t="s">
        <v>10</v>
      </c>
      <c r="D2200" s="8" t="str">
        <f>"谢俏琪"</f>
        <v>谢俏琪</v>
      </c>
      <c r="E2200" s="8" t="str">
        <f t="shared" si="90"/>
        <v>女</v>
      </c>
      <c r="F2200" s="8" t="str">
        <f>"1993-07-15"</f>
        <v>1993-07-15</v>
      </c>
      <c r="G2200" s="9"/>
    </row>
    <row r="2201" spans="1:7" ht="13.5">
      <c r="A2201" s="7">
        <v>2199</v>
      </c>
      <c r="B2201" s="8" t="str">
        <f>"2341202009111750482566"</f>
        <v>2341202009111750482566</v>
      </c>
      <c r="C2201" s="8" t="s">
        <v>10</v>
      </c>
      <c r="D2201" s="8" t="str">
        <f>"丁冠郦"</f>
        <v>丁冠郦</v>
      </c>
      <c r="E2201" s="8" t="str">
        <f t="shared" si="90"/>
        <v>女</v>
      </c>
      <c r="F2201" s="8" t="str">
        <f>"1996-11-10"</f>
        <v>1996-11-10</v>
      </c>
      <c r="G2201" s="9"/>
    </row>
    <row r="2202" spans="1:7" ht="13.5">
      <c r="A2202" s="7">
        <v>2200</v>
      </c>
      <c r="B2202" s="8" t="str">
        <f>"2341202009111829012574"</f>
        <v>2341202009111829012574</v>
      </c>
      <c r="C2202" s="8" t="s">
        <v>10</v>
      </c>
      <c r="D2202" s="8" t="str">
        <f>"李吉恋"</f>
        <v>李吉恋</v>
      </c>
      <c r="E2202" s="8" t="str">
        <f t="shared" si="90"/>
        <v>女</v>
      </c>
      <c r="F2202" s="8" t="str">
        <f>"1996-05-28"</f>
        <v>1996-05-28</v>
      </c>
      <c r="G2202" s="9"/>
    </row>
    <row r="2203" spans="1:7" ht="13.5">
      <c r="A2203" s="7">
        <v>2201</v>
      </c>
      <c r="B2203" s="8" t="str">
        <f>"2341202009112106422594"</f>
        <v>2341202009112106422594</v>
      </c>
      <c r="C2203" s="8" t="s">
        <v>10</v>
      </c>
      <c r="D2203" s="8" t="str">
        <f>"毕春影"</f>
        <v>毕春影</v>
      </c>
      <c r="E2203" s="8" t="str">
        <f t="shared" si="90"/>
        <v>女</v>
      </c>
      <c r="F2203" s="8" t="str">
        <f>"1985-03-20"</f>
        <v>1985-03-20</v>
      </c>
      <c r="G2203" s="9"/>
    </row>
    <row r="2204" spans="1:7" ht="13.5">
      <c r="A2204" s="7">
        <v>2202</v>
      </c>
      <c r="B2204" s="8" t="str">
        <f>"2341202009112229322607"</f>
        <v>2341202009112229322607</v>
      </c>
      <c r="C2204" s="8" t="s">
        <v>10</v>
      </c>
      <c r="D2204" s="8" t="str">
        <f>"王莉"</f>
        <v>王莉</v>
      </c>
      <c r="E2204" s="8" t="str">
        <f t="shared" si="90"/>
        <v>女</v>
      </c>
      <c r="F2204" s="8" t="str">
        <f>"1993-06-28"</f>
        <v>1993-06-28</v>
      </c>
      <c r="G2204" s="9"/>
    </row>
    <row r="2205" spans="1:7" ht="13.5">
      <c r="A2205" s="7">
        <v>2203</v>
      </c>
      <c r="B2205" s="8" t="str">
        <f>"2341202009112347572617"</f>
        <v>2341202009112347572617</v>
      </c>
      <c r="C2205" s="8" t="s">
        <v>10</v>
      </c>
      <c r="D2205" s="8" t="str">
        <f>"童碧欣"</f>
        <v>童碧欣</v>
      </c>
      <c r="E2205" s="8" t="str">
        <f t="shared" si="90"/>
        <v>女</v>
      </c>
      <c r="F2205" s="8" t="str">
        <f>"1999-04-30"</f>
        <v>1999-04-30</v>
      </c>
      <c r="G2205" s="9"/>
    </row>
    <row r="2206" spans="1:7" ht="13.5">
      <c r="A2206" s="7">
        <v>2204</v>
      </c>
      <c r="B2206" s="8" t="str">
        <f>"2341202009120806182621"</f>
        <v>2341202009120806182621</v>
      </c>
      <c r="C2206" s="8" t="s">
        <v>10</v>
      </c>
      <c r="D2206" s="8" t="str">
        <f>"鲁钰"</f>
        <v>鲁钰</v>
      </c>
      <c r="E2206" s="8" t="str">
        <f t="shared" si="90"/>
        <v>女</v>
      </c>
      <c r="F2206" s="8" t="str">
        <f>"1994-05-10"</f>
        <v>1994-05-10</v>
      </c>
      <c r="G2206" s="9"/>
    </row>
    <row r="2207" spans="1:7" ht="13.5">
      <c r="A2207" s="7">
        <v>2205</v>
      </c>
      <c r="B2207" s="8" t="str">
        <f>"2341202009120845352625"</f>
        <v>2341202009120845352625</v>
      </c>
      <c r="C2207" s="8" t="s">
        <v>10</v>
      </c>
      <c r="D2207" s="8" t="str">
        <f>"刘禹彤"</f>
        <v>刘禹彤</v>
      </c>
      <c r="E2207" s="8" t="str">
        <f t="shared" si="90"/>
        <v>女</v>
      </c>
      <c r="F2207" s="8" t="str">
        <f>"1996-05-19"</f>
        <v>1996-05-19</v>
      </c>
      <c r="G2207" s="9"/>
    </row>
    <row r="2208" spans="1:7" ht="13.5">
      <c r="A2208" s="7">
        <v>2206</v>
      </c>
      <c r="B2208" s="8" t="str">
        <f>"2341202009120853392626"</f>
        <v>2341202009120853392626</v>
      </c>
      <c r="C2208" s="8" t="s">
        <v>10</v>
      </c>
      <c r="D2208" s="8" t="str">
        <f>"王秋梅"</f>
        <v>王秋梅</v>
      </c>
      <c r="E2208" s="8" t="str">
        <f t="shared" si="90"/>
        <v>女</v>
      </c>
      <c r="F2208" s="8" t="str">
        <f>"1993-09-10"</f>
        <v>1993-09-10</v>
      </c>
      <c r="G2208" s="9"/>
    </row>
    <row r="2209" spans="1:7" ht="13.5">
      <c r="A2209" s="7">
        <v>2207</v>
      </c>
      <c r="B2209" s="8" t="str">
        <f>"2341202009120946112629"</f>
        <v>2341202009120946112629</v>
      </c>
      <c r="C2209" s="8" t="s">
        <v>10</v>
      </c>
      <c r="D2209" s="8" t="str">
        <f>"薛焕霞"</f>
        <v>薛焕霞</v>
      </c>
      <c r="E2209" s="8" t="str">
        <f t="shared" si="90"/>
        <v>女</v>
      </c>
      <c r="F2209" s="8" t="str">
        <f>"1986-05-16"</f>
        <v>1986-05-16</v>
      </c>
      <c r="G2209" s="9"/>
    </row>
    <row r="2210" spans="1:7" ht="13.5">
      <c r="A2210" s="7">
        <v>2208</v>
      </c>
      <c r="B2210" s="8" t="str">
        <f>"2341202009121008092633"</f>
        <v>2341202009121008092633</v>
      </c>
      <c r="C2210" s="8" t="s">
        <v>10</v>
      </c>
      <c r="D2210" s="8" t="str">
        <f>"沈彩梦"</f>
        <v>沈彩梦</v>
      </c>
      <c r="E2210" s="8" t="str">
        <f aca="true" t="shared" si="91" ref="E2210:E2227">"女"</f>
        <v>女</v>
      </c>
      <c r="F2210" s="8" t="str">
        <f>"1991-07-16"</f>
        <v>1991-07-16</v>
      </c>
      <c r="G2210" s="9"/>
    </row>
    <row r="2211" spans="1:7" ht="13.5">
      <c r="A2211" s="7">
        <v>2209</v>
      </c>
      <c r="B2211" s="8" t="str">
        <f>"2341202009121011042634"</f>
        <v>2341202009121011042634</v>
      </c>
      <c r="C2211" s="8" t="s">
        <v>10</v>
      </c>
      <c r="D2211" s="8" t="str">
        <f>"郑慧琴"</f>
        <v>郑慧琴</v>
      </c>
      <c r="E2211" s="8" t="str">
        <f t="shared" si="91"/>
        <v>女</v>
      </c>
      <c r="F2211" s="8" t="str">
        <f>"1992-10-14"</f>
        <v>1992-10-14</v>
      </c>
      <c r="G2211" s="9"/>
    </row>
    <row r="2212" spans="1:7" ht="13.5">
      <c r="A2212" s="7">
        <v>2210</v>
      </c>
      <c r="B2212" s="8" t="str">
        <f>"2341202009121018212637"</f>
        <v>2341202009121018212637</v>
      </c>
      <c r="C2212" s="8" t="s">
        <v>10</v>
      </c>
      <c r="D2212" s="8" t="str">
        <f>"王燕英"</f>
        <v>王燕英</v>
      </c>
      <c r="E2212" s="8" t="str">
        <f t="shared" si="91"/>
        <v>女</v>
      </c>
      <c r="F2212" s="8" t="str">
        <f>"1989-12-25"</f>
        <v>1989-12-25</v>
      </c>
      <c r="G2212" s="9"/>
    </row>
    <row r="2213" spans="1:7" ht="13.5">
      <c r="A2213" s="7">
        <v>2211</v>
      </c>
      <c r="B2213" s="8" t="str">
        <f>"2341202009121042212641"</f>
        <v>2341202009121042212641</v>
      </c>
      <c r="C2213" s="8" t="s">
        <v>10</v>
      </c>
      <c r="D2213" s="8" t="str">
        <f>"甫车"</f>
        <v>甫车</v>
      </c>
      <c r="E2213" s="8" t="str">
        <f t="shared" si="91"/>
        <v>女</v>
      </c>
      <c r="F2213" s="8" t="str">
        <f>"1986-05-04"</f>
        <v>1986-05-04</v>
      </c>
      <c r="G2213" s="9"/>
    </row>
    <row r="2214" spans="1:7" ht="13.5">
      <c r="A2214" s="7">
        <v>2212</v>
      </c>
      <c r="B2214" s="8" t="str">
        <f>"2341202009121058542647"</f>
        <v>2341202009121058542647</v>
      </c>
      <c r="C2214" s="8" t="s">
        <v>10</v>
      </c>
      <c r="D2214" s="8" t="str">
        <f>"陈苗"</f>
        <v>陈苗</v>
      </c>
      <c r="E2214" s="8" t="str">
        <f t="shared" si="91"/>
        <v>女</v>
      </c>
      <c r="F2214" s="8" t="str">
        <f>"1990-07-15"</f>
        <v>1990-07-15</v>
      </c>
      <c r="G2214" s="9"/>
    </row>
    <row r="2215" spans="1:7" ht="13.5">
      <c r="A2215" s="7">
        <v>2213</v>
      </c>
      <c r="B2215" s="8" t="str">
        <f>"2341202009121137042656"</f>
        <v>2341202009121137042656</v>
      </c>
      <c r="C2215" s="8" t="s">
        <v>10</v>
      </c>
      <c r="D2215" s="8" t="str">
        <f>"符小丹"</f>
        <v>符小丹</v>
      </c>
      <c r="E2215" s="8" t="str">
        <f t="shared" si="91"/>
        <v>女</v>
      </c>
      <c r="F2215" s="8" t="str">
        <f>"1995-06-15"</f>
        <v>1995-06-15</v>
      </c>
      <c r="G2215" s="9"/>
    </row>
    <row r="2216" spans="1:7" ht="13.5">
      <c r="A2216" s="7">
        <v>2214</v>
      </c>
      <c r="B2216" s="8" t="str">
        <f>"2341202009121137592657"</f>
        <v>2341202009121137592657</v>
      </c>
      <c r="C2216" s="8" t="s">
        <v>10</v>
      </c>
      <c r="D2216" s="8" t="str">
        <f>"吴培玉"</f>
        <v>吴培玉</v>
      </c>
      <c r="E2216" s="8" t="str">
        <f t="shared" si="91"/>
        <v>女</v>
      </c>
      <c r="F2216" s="8" t="str">
        <f>"1989-08-24"</f>
        <v>1989-08-24</v>
      </c>
      <c r="G2216" s="9"/>
    </row>
    <row r="2217" spans="1:7" ht="13.5">
      <c r="A2217" s="7">
        <v>2215</v>
      </c>
      <c r="B2217" s="8" t="str">
        <f>"2341202009121218232667"</f>
        <v>2341202009121218232667</v>
      </c>
      <c r="C2217" s="8" t="s">
        <v>10</v>
      </c>
      <c r="D2217" s="8" t="str">
        <f>"文怡"</f>
        <v>文怡</v>
      </c>
      <c r="E2217" s="8" t="str">
        <f t="shared" si="91"/>
        <v>女</v>
      </c>
      <c r="F2217" s="8" t="str">
        <f>"1992-01-06"</f>
        <v>1992-01-06</v>
      </c>
      <c r="G2217" s="9"/>
    </row>
    <row r="2218" spans="1:7" ht="13.5">
      <c r="A2218" s="7">
        <v>2216</v>
      </c>
      <c r="B2218" s="8" t="str">
        <f>"2341202009121236452668"</f>
        <v>2341202009121236452668</v>
      </c>
      <c r="C2218" s="8" t="s">
        <v>10</v>
      </c>
      <c r="D2218" s="8" t="str">
        <f>"林艳婕"</f>
        <v>林艳婕</v>
      </c>
      <c r="E2218" s="8" t="str">
        <f t="shared" si="91"/>
        <v>女</v>
      </c>
      <c r="F2218" s="8" t="str">
        <f>"1997-04-16"</f>
        <v>1997-04-16</v>
      </c>
      <c r="G2218" s="9"/>
    </row>
    <row r="2219" spans="1:7" ht="13.5">
      <c r="A2219" s="7">
        <v>2217</v>
      </c>
      <c r="B2219" s="8" t="str">
        <f>"2341202009121338002679"</f>
        <v>2341202009121338002679</v>
      </c>
      <c r="C2219" s="8" t="s">
        <v>10</v>
      </c>
      <c r="D2219" s="8" t="str">
        <f>"张薇"</f>
        <v>张薇</v>
      </c>
      <c r="E2219" s="8" t="str">
        <f t="shared" si="91"/>
        <v>女</v>
      </c>
      <c r="F2219" s="8" t="str">
        <f>"1991-04-10"</f>
        <v>1991-04-10</v>
      </c>
      <c r="G2219" s="9"/>
    </row>
    <row r="2220" spans="1:7" ht="13.5">
      <c r="A2220" s="7">
        <v>2218</v>
      </c>
      <c r="B2220" s="8" t="str">
        <f>"2341202009121350512680"</f>
        <v>2341202009121350512680</v>
      </c>
      <c r="C2220" s="8" t="s">
        <v>10</v>
      </c>
      <c r="D2220" s="8" t="str">
        <f>"尹春云"</f>
        <v>尹春云</v>
      </c>
      <c r="E2220" s="8" t="str">
        <f t="shared" si="91"/>
        <v>女</v>
      </c>
      <c r="F2220" s="8" t="str">
        <f>"1994-01-23"</f>
        <v>1994-01-23</v>
      </c>
      <c r="G2220" s="9"/>
    </row>
    <row r="2221" spans="1:7" ht="13.5">
      <c r="A2221" s="7">
        <v>2219</v>
      </c>
      <c r="B2221" s="8" t="str">
        <f>"2341202009121554312692"</f>
        <v>2341202009121554312692</v>
      </c>
      <c r="C2221" s="8" t="s">
        <v>10</v>
      </c>
      <c r="D2221" s="8" t="str">
        <f>"冯娴恬"</f>
        <v>冯娴恬</v>
      </c>
      <c r="E2221" s="8" t="str">
        <f t="shared" si="91"/>
        <v>女</v>
      </c>
      <c r="F2221" s="8" t="str">
        <f>"1993-12-22"</f>
        <v>1993-12-22</v>
      </c>
      <c r="G2221" s="9"/>
    </row>
    <row r="2222" spans="1:7" ht="13.5">
      <c r="A2222" s="7">
        <v>2220</v>
      </c>
      <c r="B2222" s="8" t="str">
        <f>"2341202009121627052699"</f>
        <v>2341202009121627052699</v>
      </c>
      <c r="C2222" s="8" t="s">
        <v>10</v>
      </c>
      <c r="D2222" s="8" t="str">
        <f>"谢黄娇"</f>
        <v>谢黄娇</v>
      </c>
      <c r="E2222" s="8" t="str">
        <f t="shared" si="91"/>
        <v>女</v>
      </c>
      <c r="F2222" s="8" t="str">
        <f>"1989-11-18"</f>
        <v>1989-11-18</v>
      </c>
      <c r="G2222" s="9"/>
    </row>
    <row r="2223" spans="1:7" ht="13.5">
      <c r="A2223" s="7">
        <v>2221</v>
      </c>
      <c r="B2223" s="8" t="str">
        <f>"2341202009121724082705"</f>
        <v>2341202009121724082705</v>
      </c>
      <c r="C2223" s="8" t="s">
        <v>10</v>
      </c>
      <c r="D2223" s="8" t="str">
        <f>"黄海锐"</f>
        <v>黄海锐</v>
      </c>
      <c r="E2223" s="8" t="str">
        <f t="shared" si="91"/>
        <v>女</v>
      </c>
      <c r="F2223" s="8" t="str">
        <f>"1997-06-10"</f>
        <v>1997-06-10</v>
      </c>
      <c r="G2223" s="9"/>
    </row>
    <row r="2224" spans="1:7" ht="13.5">
      <c r="A2224" s="7">
        <v>2222</v>
      </c>
      <c r="B2224" s="8" t="str">
        <f>"2341202009121924062713"</f>
        <v>2341202009121924062713</v>
      </c>
      <c r="C2224" s="8" t="s">
        <v>10</v>
      </c>
      <c r="D2224" s="8" t="str">
        <f>"洪音惠"</f>
        <v>洪音惠</v>
      </c>
      <c r="E2224" s="8" t="str">
        <f t="shared" si="91"/>
        <v>女</v>
      </c>
      <c r="F2224" s="8" t="str">
        <f>"1995-04-15"</f>
        <v>1995-04-15</v>
      </c>
      <c r="G2224" s="9"/>
    </row>
    <row r="2225" spans="1:7" ht="13.5">
      <c r="A2225" s="7">
        <v>2223</v>
      </c>
      <c r="B2225" s="8" t="str">
        <f>"2341202009122210372735"</f>
        <v>2341202009122210372735</v>
      </c>
      <c r="C2225" s="8" t="s">
        <v>10</v>
      </c>
      <c r="D2225" s="8" t="str">
        <f>"李海燕"</f>
        <v>李海燕</v>
      </c>
      <c r="E2225" s="8" t="str">
        <f t="shared" si="91"/>
        <v>女</v>
      </c>
      <c r="F2225" s="8" t="str">
        <f>"1987-09-26"</f>
        <v>1987-09-26</v>
      </c>
      <c r="G2225" s="9"/>
    </row>
    <row r="2226" spans="1:7" ht="13.5">
      <c r="A2226" s="7">
        <v>2224</v>
      </c>
      <c r="B2226" s="8" t="str">
        <f>"2341202009122239052741"</f>
        <v>2341202009122239052741</v>
      </c>
      <c r="C2226" s="8" t="s">
        <v>10</v>
      </c>
      <c r="D2226" s="8" t="str">
        <f>"蒲敏"</f>
        <v>蒲敏</v>
      </c>
      <c r="E2226" s="8" t="str">
        <f t="shared" si="91"/>
        <v>女</v>
      </c>
      <c r="F2226" s="8" t="str">
        <f>"1996-11-30"</f>
        <v>1996-11-30</v>
      </c>
      <c r="G2226" s="9"/>
    </row>
    <row r="2227" spans="1:7" ht="13.5">
      <c r="A2227" s="7">
        <v>2225</v>
      </c>
      <c r="B2227" s="8" t="str">
        <f>"2341202009122359302752"</f>
        <v>2341202009122359302752</v>
      </c>
      <c r="C2227" s="8" t="s">
        <v>10</v>
      </c>
      <c r="D2227" s="8" t="str">
        <f>"吴嘉敏"</f>
        <v>吴嘉敏</v>
      </c>
      <c r="E2227" s="8" t="str">
        <f t="shared" si="91"/>
        <v>女</v>
      </c>
      <c r="F2227" s="8" t="str">
        <f>"1987-12-06"</f>
        <v>1987-12-06</v>
      </c>
      <c r="G2227" s="9"/>
    </row>
    <row r="2228" spans="1:7" ht="13.5">
      <c r="A2228" s="7">
        <v>2226</v>
      </c>
      <c r="B2228" s="8" t="str">
        <f>"2341202009130930432762"</f>
        <v>2341202009130930432762</v>
      </c>
      <c r="C2228" s="8" t="s">
        <v>10</v>
      </c>
      <c r="D2228" s="8" t="str">
        <f>"裴旭"</f>
        <v>裴旭</v>
      </c>
      <c r="E2228" s="8" t="str">
        <f>"男"</f>
        <v>男</v>
      </c>
      <c r="F2228" s="8" t="str">
        <f>"1995-12-05"</f>
        <v>1995-12-05</v>
      </c>
      <c r="G2228" s="9"/>
    </row>
    <row r="2229" spans="1:7" ht="13.5">
      <c r="A2229" s="7">
        <v>2227</v>
      </c>
      <c r="B2229" s="8" t="str">
        <f>"2341202009131013212768"</f>
        <v>2341202009131013212768</v>
      </c>
      <c r="C2229" s="8" t="s">
        <v>10</v>
      </c>
      <c r="D2229" s="8" t="str">
        <f>"李小珍"</f>
        <v>李小珍</v>
      </c>
      <c r="E2229" s="8" t="str">
        <f aca="true" t="shared" si="92" ref="E2229:E2260">"女"</f>
        <v>女</v>
      </c>
      <c r="F2229" s="8" t="str">
        <f>"1997-04-04"</f>
        <v>1997-04-04</v>
      </c>
      <c r="G2229" s="9"/>
    </row>
    <row r="2230" spans="1:7" ht="13.5">
      <c r="A2230" s="7">
        <v>2228</v>
      </c>
      <c r="B2230" s="8" t="str">
        <f>"2341202009131020122770"</f>
        <v>2341202009131020122770</v>
      </c>
      <c r="C2230" s="8" t="s">
        <v>10</v>
      </c>
      <c r="D2230" s="8" t="str">
        <f>"邢敏"</f>
        <v>邢敏</v>
      </c>
      <c r="E2230" s="8" t="str">
        <f t="shared" si="92"/>
        <v>女</v>
      </c>
      <c r="F2230" s="8" t="str">
        <f>"1998-08-28"</f>
        <v>1998-08-28</v>
      </c>
      <c r="G2230" s="9"/>
    </row>
    <row r="2231" spans="1:7" ht="13.5">
      <c r="A2231" s="7">
        <v>2229</v>
      </c>
      <c r="B2231" s="8" t="str">
        <f>"2341202009131048012777"</f>
        <v>2341202009131048012777</v>
      </c>
      <c r="C2231" s="8" t="s">
        <v>10</v>
      </c>
      <c r="D2231" s="8" t="str">
        <f>"王慧珠"</f>
        <v>王慧珠</v>
      </c>
      <c r="E2231" s="8" t="str">
        <f t="shared" si="92"/>
        <v>女</v>
      </c>
      <c r="F2231" s="8" t="str">
        <f>"1984-12-17"</f>
        <v>1984-12-17</v>
      </c>
      <c r="G2231" s="9"/>
    </row>
    <row r="2232" spans="1:7" ht="13.5">
      <c r="A2232" s="7">
        <v>2230</v>
      </c>
      <c r="B2232" s="8" t="str">
        <f>"2341202009131105452780"</f>
        <v>2341202009131105452780</v>
      </c>
      <c r="C2232" s="8" t="s">
        <v>10</v>
      </c>
      <c r="D2232" s="8" t="str">
        <f>"符冬冬"</f>
        <v>符冬冬</v>
      </c>
      <c r="E2232" s="8" t="str">
        <f t="shared" si="92"/>
        <v>女</v>
      </c>
      <c r="F2232" s="8" t="str">
        <f>"1995-07-15"</f>
        <v>1995-07-15</v>
      </c>
      <c r="G2232" s="9"/>
    </row>
    <row r="2233" spans="1:7" ht="13.5">
      <c r="A2233" s="7">
        <v>2231</v>
      </c>
      <c r="B2233" s="8" t="str">
        <f>"2341202009131120592782"</f>
        <v>2341202009131120592782</v>
      </c>
      <c r="C2233" s="8" t="s">
        <v>10</v>
      </c>
      <c r="D2233" s="8" t="str">
        <f>"董钰洁"</f>
        <v>董钰洁</v>
      </c>
      <c r="E2233" s="8" t="str">
        <f t="shared" si="92"/>
        <v>女</v>
      </c>
      <c r="F2233" s="8" t="str">
        <f>"1997-10-24"</f>
        <v>1997-10-24</v>
      </c>
      <c r="G2233" s="9"/>
    </row>
    <row r="2234" spans="1:7" ht="13.5">
      <c r="A2234" s="7">
        <v>2232</v>
      </c>
      <c r="B2234" s="8" t="str">
        <f>"2341202009131141312787"</f>
        <v>2341202009131141312787</v>
      </c>
      <c r="C2234" s="8" t="s">
        <v>10</v>
      </c>
      <c r="D2234" s="8" t="str">
        <f>"胡红华"</f>
        <v>胡红华</v>
      </c>
      <c r="E2234" s="8" t="str">
        <f t="shared" si="92"/>
        <v>女</v>
      </c>
      <c r="F2234" s="8" t="str">
        <f>"1995-06-13"</f>
        <v>1995-06-13</v>
      </c>
      <c r="G2234" s="9"/>
    </row>
    <row r="2235" spans="1:7" ht="13.5">
      <c r="A2235" s="7">
        <v>2233</v>
      </c>
      <c r="B2235" s="8" t="str">
        <f>"2341202009131238202796"</f>
        <v>2341202009131238202796</v>
      </c>
      <c r="C2235" s="8" t="s">
        <v>10</v>
      </c>
      <c r="D2235" s="8" t="str">
        <f>"陈少珊"</f>
        <v>陈少珊</v>
      </c>
      <c r="E2235" s="8" t="str">
        <f t="shared" si="92"/>
        <v>女</v>
      </c>
      <c r="F2235" s="8" t="str">
        <f>"1987-11-12"</f>
        <v>1987-11-12</v>
      </c>
      <c r="G2235" s="9"/>
    </row>
    <row r="2236" spans="1:7" ht="13.5">
      <c r="A2236" s="7">
        <v>2234</v>
      </c>
      <c r="B2236" s="8" t="str">
        <f>"2341202009131253332801"</f>
        <v>2341202009131253332801</v>
      </c>
      <c r="C2236" s="8" t="s">
        <v>10</v>
      </c>
      <c r="D2236" s="8" t="str">
        <f>"陈丽娇"</f>
        <v>陈丽娇</v>
      </c>
      <c r="E2236" s="8" t="str">
        <f t="shared" si="92"/>
        <v>女</v>
      </c>
      <c r="F2236" s="8" t="str">
        <f>"1994-07-02"</f>
        <v>1994-07-02</v>
      </c>
      <c r="G2236" s="9"/>
    </row>
    <row r="2237" spans="1:7" ht="13.5">
      <c r="A2237" s="7">
        <v>2235</v>
      </c>
      <c r="B2237" s="8" t="str">
        <f>"2341202009131259322802"</f>
        <v>2341202009131259322802</v>
      </c>
      <c r="C2237" s="8" t="s">
        <v>10</v>
      </c>
      <c r="D2237" s="8" t="str">
        <f>"陈会"</f>
        <v>陈会</v>
      </c>
      <c r="E2237" s="8" t="str">
        <f t="shared" si="92"/>
        <v>女</v>
      </c>
      <c r="F2237" s="8" t="str">
        <f>"1993-04-17"</f>
        <v>1993-04-17</v>
      </c>
      <c r="G2237" s="9"/>
    </row>
    <row r="2238" spans="1:7" ht="13.5">
      <c r="A2238" s="7">
        <v>2236</v>
      </c>
      <c r="B2238" s="8" t="str">
        <f>"2341202009131326062804"</f>
        <v>2341202009131326062804</v>
      </c>
      <c r="C2238" s="8" t="s">
        <v>10</v>
      </c>
      <c r="D2238" s="8" t="str">
        <f>"文丽"</f>
        <v>文丽</v>
      </c>
      <c r="E2238" s="8" t="str">
        <f t="shared" si="92"/>
        <v>女</v>
      </c>
      <c r="F2238" s="8" t="str">
        <f>"1994-10-14"</f>
        <v>1994-10-14</v>
      </c>
      <c r="G2238" s="9"/>
    </row>
    <row r="2239" spans="1:7" ht="13.5">
      <c r="A2239" s="7">
        <v>2237</v>
      </c>
      <c r="B2239" s="8" t="str">
        <f>"2341202009131458072821"</f>
        <v>2341202009131458072821</v>
      </c>
      <c r="C2239" s="8" t="s">
        <v>10</v>
      </c>
      <c r="D2239" s="8" t="str">
        <f>"符小慧"</f>
        <v>符小慧</v>
      </c>
      <c r="E2239" s="8" t="str">
        <f t="shared" si="92"/>
        <v>女</v>
      </c>
      <c r="F2239" s="8" t="str">
        <f>"1996-11-04"</f>
        <v>1996-11-04</v>
      </c>
      <c r="G2239" s="9"/>
    </row>
    <row r="2240" spans="1:7" ht="13.5">
      <c r="A2240" s="7">
        <v>2238</v>
      </c>
      <c r="B2240" s="8" t="str">
        <f>"2341202009131512212822"</f>
        <v>2341202009131512212822</v>
      </c>
      <c r="C2240" s="8" t="s">
        <v>10</v>
      </c>
      <c r="D2240" s="8" t="str">
        <f>"王新乾"</f>
        <v>王新乾</v>
      </c>
      <c r="E2240" s="8" t="str">
        <f t="shared" si="92"/>
        <v>女</v>
      </c>
      <c r="F2240" s="8" t="str">
        <f>"1993-04-07"</f>
        <v>1993-04-07</v>
      </c>
      <c r="G2240" s="9"/>
    </row>
    <row r="2241" spans="1:7" ht="13.5">
      <c r="A2241" s="7">
        <v>2239</v>
      </c>
      <c r="B2241" s="8" t="str">
        <f>"2341202009131617352834"</f>
        <v>2341202009131617352834</v>
      </c>
      <c r="C2241" s="8" t="s">
        <v>10</v>
      </c>
      <c r="D2241" s="8" t="str">
        <f>"黄冰莹"</f>
        <v>黄冰莹</v>
      </c>
      <c r="E2241" s="8" t="str">
        <f t="shared" si="92"/>
        <v>女</v>
      </c>
      <c r="F2241" s="8" t="str">
        <f>"1991-11-28"</f>
        <v>1991-11-28</v>
      </c>
      <c r="G2241" s="9"/>
    </row>
    <row r="2242" spans="1:7" ht="13.5">
      <c r="A2242" s="7">
        <v>2240</v>
      </c>
      <c r="B2242" s="8" t="str">
        <f>"2341202009131709312842"</f>
        <v>2341202009131709312842</v>
      </c>
      <c r="C2242" s="8" t="s">
        <v>10</v>
      </c>
      <c r="D2242" s="8" t="str">
        <f>"谢丽雯"</f>
        <v>谢丽雯</v>
      </c>
      <c r="E2242" s="8" t="str">
        <f t="shared" si="92"/>
        <v>女</v>
      </c>
      <c r="F2242" s="8" t="str">
        <f>"1991-04-08"</f>
        <v>1991-04-08</v>
      </c>
      <c r="G2242" s="9"/>
    </row>
    <row r="2243" spans="1:7" ht="13.5">
      <c r="A2243" s="7">
        <v>2241</v>
      </c>
      <c r="B2243" s="8" t="str">
        <f>"2341202009131715392844"</f>
        <v>2341202009131715392844</v>
      </c>
      <c r="C2243" s="8" t="s">
        <v>10</v>
      </c>
      <c r="D2243" s="8" t="str">
        <f>"王琪"</f>
        <v>王琪</v>
      </c>
      <c r="E2243" s="8" t="str">
        <f t="shared" si="92"/>
        <v>女</v>
      </c>
      <c r="F2243" s="8" t="str">
        <f>"1987-03-02"</f>
        <v>1987-03-02</v>
      </c>
      <c r="G2243" s="9"/>
    </row>
    <row r="2244" spans="1:7" ht="13.5">
      <c r="A2244" s="7">
        <v>2242</v>
      </c>
      <c r="B2244" s="8" t="str">
        <f>"2341202009131722122846"</f>
        <v>2341202009131722122846</v>
      </c>
      <c r="C2244" s="8" t="s">
        <v>10</v>
      </c>
      <c r="D2244" s="8" t="str">
        <f>"王佳玉"</f>
        <v>王佳玉</v>
      </c>
      <c r="E2244" s="8" t="str">
        <f t="shared" si="92"/>
        <v>女</v>
      </c>
      <c r="F2244" s="8" t="str">
        <f>"1993-05-06"</f>
        <v>1993-05-06</v>
      </c>
      <c r="G2244" s="9"/>
    </row>
    <row r="2245" spans="1:7" ht="13.5">
      <c r="A2245" s="7">
        <v>2243</v>
      </c>
      <c r="B2245" s="8" t="str">
        <f>"2341202009131905552865"</f>
        <v>2341202009131905552865</v>
      </c>
      <c r="C2245" s="8" t="s">
        <v>10</v>
      </c>
      <c r="D2245" s="8" t="str">
        <f>"刘晓月"</f>
        <v>刘晓月</v>
      </c>
      <c r="E2245" s="8" t="str">
        <f t="shared" si="92"/>
        <v>女</v>
      </c>
      <c r="F2245" s="8" t="str">
        <f>"1996-03-08"</f>
        <v>1996-03-08</v>
      </c>
      <c r="G2245" s="9"/>
    </row>
    <row r="2246" spans="1:7" ht="13.5">
      <c r="A2246" s="7">
        <v>2244</v>
      </c>
      <c r="B2246" s="8" t="str">
        <f>"2341202009131915562869"</f>
        <v>2341202009131915562869</v>
      </c>
      <c r="C2246" s="8" t="s">
        <v>10</v>
      </c>
      <c r="D2246" s="8" t="str">
        <f>"林小玉"</f>
        <v>林小玉</v>
      </c>
      <c r="E2246" s="8" t="str">
        <f t="shared" si="92"/>
        <v>女</v>
      </c>
      <c r="F2246" s="8" t="str">
        <f>"1997-07-29"</f>
        <v>1997-07-29</v>
      </c>
      <c r="G2246" s="9"/>
    </row>
    <row r="2247" spans="1:7" ht="13.5">
      <c r="A2247" s="7">
        <v>2245</v>
      </c>
      <c r="B2247" s="8" t="str">
        <f>"2341202009131925082874"</f>
        <v>2341202009131925082874</v>
      </c>
      <c r="C2247" s="8" t="s">
        <v>10</v>
      </c>
      <c r="D2247" s="8" t="str">
        <f>"温伯婵"</f>
        <v>温伯婵</v>
      </c>
      <c r="E2247" s="8" t="str">
        <f t="shared" si="92"/>
        <v>女</v>
      </c>
      <c r="F2247" s="8" t="str">
        <f>"1998-08-28"</f>
        <v>1998-08-28</v>
      </c>
      <c r="G2247" s="9"/>
    </row>
    <row r="2248" spans="1:7" ht="13.5">
      <c r="A2248" s="7">
        <v>2246</v>
      </c>
      <c r="B2248" s="8" t="str">
        <f>"2341202009131942082878"</f>
        <v>2341202009131942082878</v>
      </c>
      <c r="C2248" s="8" t="s">
        <v>10</v>
      </c>
      <c r="D2248" s="8" t="str">
        <f>"吴永洁"</f>
        <v>吴永洁</v>
      </c>
      <c r="E2248" s="8" t="str">
        <f t="shared" si="92"/>
        <v>女</v>
      </c>
      <c r="F2248" s="8" t="str">
        <f>"1993-11-13"</f>
        <v>1993-11-13</v>
      </c>
      <c r="G2248" s="9"/>
    </row>
    <row r="2249" spans="1:7" ht="13.5">
      <c r="A2249" s="7">
        <v>2247</v>
      </c>
      <c r="B2249" s="8" t="str">
        <f>"2341202009132014122894"</f>
        <v>2341202009132014122894</v>
      </c>
      <c r="C2249" s="8" t="s">
        <v>10</v>
      </c>
      <c r="D2249" s="8" t="str">
        <f>"李秋"</f>
        <v>李秋</v>
      </c>
      <c r="E2249" s="8" t="str">
        <f t="shared" si="92"/>
        <v>女</v>
      </c>
      <c r="F2249" s="8" t="str">
        <f>"1994-10-02"</f>
        <v>1994-10-02</v>
      </c>
      <c r="G2249" s="9"/>
    </row>
    <row r="2250" spans="1:7" ht="13.5">
      <c r="A2250" s="7">
        <v>2248</v>
      </c>
      <c r="B2250" s="8" t="str">
        <f>"2341202009132014242895"</f>
        <v>2341202009132014242895</v>
      </c>
      <c r="C2250" s="8" t="s">
        <v>10</v>
      </c>
      <c r="D2250" s="8" t="str">
        <f>"林壮秋"</f>
        <v>林壮秋</v>
      </c>
      <c r="E2250" s="8" t="str">
        <f t="shared" si="92"/>
        <v>女</v>
      </c>
      <c r="F2250" s="8" t="str">
        <f>"1993-04-02"</f>
        <v>1993-04-02</v>
      </c>
      <c r="G2250" s="9"/>
    </row>
    <row r="2251" spans="1:7" ht="13.5">
      <c r="A2251" s="7">
        <v>2249</v>
      </c>
      <c r="B2251" s="8" t="str">
        <f>"2341202009132016592897"</f>
        <v>2341202009132016592897</v>
      </c>
      <c r="C2251" s="8" t="s">
        <v>10</v>
      </c>
      <c r="D2251" s="8" t="str">
        <f>"符家贇"</f>
        <v>符家贇</v>
      </c>
      <c r="E2251" s="8" t="str">
        <f t="shared" si="92"/>
        <v>女</v>
      </c>
      <c r="F2251" s="8" t="str">
        <f>"1993-08-19"</f>
        <v>1993-08-19</v>
      </c>
      <c r="G2251" s="9"/>
    </row>
    <row r="2252" spans="1:7" ht="13.5">
      <c r="A2252" s="7">
        <v>2250</v>
      </c>
      <c r="B2252" s="8" t="str">
        <f>"2341202009132106022913"</f>
        <v>2341202009132106022913</v>
      </c>
      <c r="C2252" s="8" t="s">
        <v>10</v>
      </c>
      <c r="D2252" s="8" t="str">
        <f>"陈慕珍"</f>
        <v>陈慕珍</v>
      </c>
      <c r="E2252" s="8" t="str">
        <f t="shared" si="92"/>
        <v>女</v>
      </c>
      <c r="F2252" s="8" t="str">
        <f>"1993-10-25"</f>
        <v>1993-10-25</v>
      </c>
      <c r="G2252" s="9"/>
    </row>
    <row r="2253" spans="1:7" ht="13.5">
      <c r="A2253" s="7">
        <v>2251</v>
      </c>
      <c r="B2253" s="8" t="str">
        <f>"2341202009132107002914"</f>
        <v>2341202009132107002914</v>
      </c>
      <c r="C2253" s="8" t="s">
        <v>10</v>
      </c>
      <c r="D2253" s="8" t="str">
        <f>"孟祥萍"</f>
        <v>孟祥萍</v>
      </c>
      <c r="E2253" s="8" t="str">
        <f t="shared" si="92"/>
        <v>女</v>
      </c>
      <c r="F2253" s="8" t="str">
        <f>"1990-01-27"</f>
        <v>1990-01-27</v>
      </c>
      <c r="G2253" s="9"/>
    </row>
    <row r="2254" spans="1:7" ht="13.5">
      <c r="A2254" s="7">
        <v>2252</v>
      </c>
      <c r="B2254" s="8" t="str">
        <f>"2341202009132124092921"</f>
        <v>2341202009132124092921</v>
      </c>
      <c r="C2254" s="8" t="s">
        <v>10</v>
      </c>
      <c r="D2254" s="8" t="str">
        <f>"刘欢"</f>
        <v>刘欢</v>
      </c>
      <c r="E2254" s="8" t="str">
        <f t="shared" si="92"/>
        <v>女</v>
      </c>
      <c r="F2254" s="8" t="str">
        <f>"1988-12-16"</f>
        <v>1988-12-16</v>
      </c>
      <c r="G2254" s="9"/>
    </row>
    <row r="2255" spans="1:7" ht="13.5">
      <c r="A2255" s="7">
        <v>2253</v>
      </c>
      <c r="B2255" s="8" t="str">
        <f>"2341202009132135492926"</f>
        <v>2341202009132135492926</v>
      </c>
      <c r="C2255" s="8" t="s">
        <v>10</v>
      </c>
      <c r="D2255" s="8" t="str">
        <f>"王荣淑"</f>
        <v>王荣淑</v>
      </c>
      <c r="E2255" s="8" t="str">
        <f t="shared" si="92"/>
        <v>女</v>
      </c>
      <c r="F2255" s="8" t="str">
        <f>"1990-12-31"</f>
        <v>1990-12-31</v>
      </c>
      <c r="G2255" s="9"/>
    </row>
    <row r="2256" spans="1:7" ht="13.5">
      <c r="A2256" s="7">
        <v>2254</v>
      </c>
      <c r="B2256" s="8" t="str">
        <f>"2341202009132136372927"</f>
        <v>2341202009132136372927</v>
      </c>
      <c r="C2256" s="8" t="s">
        <v>10</v>
      </c>
      <c r="D2256" s="8" t="str">
        <f>"潘丽美"</f>
        <v>潘丽美</v>
      </c>
      <c r="E2256" s="8" t="str">
        <f t="shared" si="92"/>
        <v>女</v>
      </c>
      <c r="F2256" s="8" t="str">
        <f>"1991-06-06"</f>
        <v>1991-06-06</v>
      </c>
      <c r="G2256" s="9"/>
    </row>
    <row r="2257" spans="1:7" ht="13.5">
      <c r="A2257" s="7">
        <v>2255</v>
      </c>
      <c r="B2257" s="8" t="str">
        <f>"2341202009132151022934"</f>
        <v>2341202009132151022934</v>
      </c>
      <c r="C2257" s="8" t="s">
        <v>10</v>
      </c>
      <c r="D2257" s="8" t="str">
        <f>"王雪"</f>
        <v>王雪</v>
      </c>
      <c r="E2257" s="8" t="str">
        <f t="shared" si="92"/>
        <v>女</v>
      </c>
      <c r="F2257" s="8" t="str">
        <f>"1993-02-06"</f>
        <v>1993-02-06</v>
      </c>
      <c r="G2257" s="9"/>
    </row>
    <row r="2258" spans="1:7" ht="13.5">
      <c r="A2258" s="7">
        <v>2256</v>
      </c>
      <c r="B2258" s="8" t="str">
        <f>"2341202009132215272946"</f>
        <v>2341202009132215272946</v>
      </c>
      <c r="C2258" s="8" t="s">
        <v>10</v>
      </c>
      <c r="D2258" s="8" t="str">
        <f>"何玉艾"</f>
        <v>何玉艾</v>
      </c>
      <c r="E2258" s="8" t="str">
        <f t="shared" si="92"/>
        <v>女</v>
      </c>
      <c r="F2258" s="8" t="str">
        <f>"1989-05-11"</f>
        <v>1989-05-11</v>
      </c>
      <c r="G2258" s="9"/>
    </row>
    <row r="2259" spans="1:7" ht="13.5">
      <c r="A2259" s="7">
        <v>2257</v>
      </c>
      <c r="B2259" s="8" t="str">
        <f>"2341202009132216052948"</f>
        <v>2341202009132216052948</v>
      </c>
      <c r="C2259" s="8" t="s">
        <v>10</v>
      </c>
      <c r="D2259" s="8" t="str">
        <f>"郑斌云"</f>
        <v>郑斌云</v>
      </c>
      <c r="E2259" s="8" t="str">
        <f t="shared" si="92"/>
        <v>女</v>
      </c>
      <c r="F2259" s="8" t="str">
        <f>"1991-11-02"</f>
        <v>1991-11-02</v>
      </c>
      <c r="G2259" s="9"/>
    </row>
    <row r="2260" spans="1:7" ht="13.5">
      <c r="A2260" s="7">
        <v>2258</v>
      </c>
      <c r="B2260" s="8" t="str">
        <f>"2341202009132235042961"</f>
        <v>2341202009132235042961</v>
      </c>
      <c r="C2260" s="8" t="s">
        <v>10</v>
      </c>
      <c r="D2260" s="8" t="str">
        <f>"吴慧雅"</f>
        <v>吴慧雅</v>
      </c>
      <c r="E2260" s="8" t="str">
        <f t="shared" si="92"/>
        <v>女</v>
      </c>
      <c r="F2260" s="8" t="str">
        <f>"1993-09-03"</f>
        <v>1993-09-03</v>
      </c>
      <c r="G2260" s="9"/>
    </row>
    <row r="2261" spans="1:7" ht="13.5">
      <c r="A2261" s="7">
        <v>2259</v>
      </c>
      <c r="B2261" s="8" t="str">
        <f>"2341202009132240452965"</f>
        <v>2341202009132240452965</v>
      </c>
      <c r="C2261" s="8" t="s">
        <v>10</v>
      </c>
      <c r="D2261" s="8" t="str">
        <f>"林松"</f>
        <v>林松</v>
      </c>
      <c r="E2261" s="8" t="str">
        <f aca="true" t="shared" si="93" ref="E2261:E2286">"女"</f>
        <v>女</v>
      </c>
      <c r="F2261" s="8" t="str">
        <f>"1994-08-15"</f>
        <v>1994-08-15</v>
      </c>
      <c r="G2261" s="9"/>
    </row>
    <row r="2262" spans="1:7" ht="13.5">
      <c r="A2262" s="7">
        <v>2260</v>
      </c>
      <c r="B2262" s="8" t="str">
        <f>"2341202009132248312967"</f>
        <v>2341202009132248312967</v>
      </c>
      <c r="C2262" s="8" t="s">
        <v>10</v>
      </c>
      <c r="D2262" s="8" t="str">
        <f>"林菊"</f>
        <v>林菊</v>
      </c>
      <c r="E2262" s="8" t="str">
        <f t="shared" si="93"/>
        <v>女</v>
      </c>
      <c r="F2262" s="8" t="str">
        <f>"1991-08-01"</f>
        <v>1991-08-01</v>
      </c>
      <c r="G2262" s="9"/>
    </row>
    <row r="2263" spans="1:7" ht="13.5">
      <c r="A2263" s="7">
        <v>2261</v>
      </c>
      <c r="B2263" s="8" t="str">
        <f>"2341202009132319312978"</f>
        <v>2341202009132319312978</v>
      </c>
      <c r="C2263" s="8" t="s">
        <v>10</v>
      </c>
      <c r="D2263" s="8" t="str">
        <f>"张汉娇"</f>
        <v>张汉娇</v>
      </c>
      <c r="E2263" s="8" t="str">
        <f t="shared" si="93"/>
        <v>女</v>
      </c>
      <c r="F2263" s="8" t="str">
        <f>"1994-12-28"</f>
        <v>1994-12-28</v>
      </c>
      <c r="G2263" s="9"/>
    </row>
    <row r="2264" spans="1:7" ht="13.5">
      <c r="A2264" s="7">
        <v>2262</v>
      </c>
      <c r="B2264" s="8" t="str">
        <f>"2341202009132322592980"</f>
        <v>2341202009132322592980</v>
      </c>
      <c r="C2264" s="8" t="s">
        <v>10</v>
      </c>
      <c r="D2264" s="8" t="str">
        <f>"徐惠平"</f>
        <v>徐惠平</v>
      </c>
      <c r="E2264" s="8" t="str">
        <f t="shared" si="93"/>
        <v>女</v>
      </c>
      <c r="F2264" s="8" t="str">
        <f>"1991-03-05"</f>
        <v>1991-03-05</v>
      </c>
      <c r="G2264" s="9"/>
    </row>
    <row r="2265" spans="1:7" ht="13.5">
      <c r="A2265" s="7">
        <v>2263</v>
      </c>
      <c r="B2265" s="8" t="str">
        <f>"2341202009140028412992"</f>
        <v>2341202009140028412992</v>
      </c>
      <c r="C2265" s="8" t="s">
        <v>10</v>
      </c>
      <c r="D2265" s="8" t="str">
        <f>"唐海婷"</f>
        <v>唐海婷</v>
      </c>
      <c r="E2265" s="8" t="str">
        <f t="shared" si="93"/>
        <v>女</v>
      </c>
      <c r="F2265" s="8" t="str">
        <f>"1997-04-06"</f>
        <v>1997-04-06</v>
      </c>
      <c r="G2265" s="9"/>
    </row>
    <row r="2266" spans="1:7" ht="13.5">
      <c r="A2266" s="7">
        <v>2264</v>
      </c>
      <c r="B2266" s="8" t="str">
        <f>"2341202009140159422999"</f>
        <v>2341202009140159422999</v>
      </c>
      <c r="C2266" s="8" t="s">
        <v>10</v>
      </c>
      <c r="D2266" s="8" t="str">
        <f>"邝琼容"</f>
        <v>邝琼容</v>
      </c>
      <c r="E2266" s="8" t="str">
        <f t="shared" si="93"/>
        <v>女</v>
      </c>
      <c r="F2266" s="8" t="str">
        <f>"1993-07"</f>
        <v>1993-07</v>
      </c>
      <c r="G2266" s="9"/>
    </row>
    <row r="2267" spans="1:7" ht="13.5">
      <c r="A2267" s="7">
        <v>2265</v>
      </c>
      <c r="B2267" s="8" t="str">
        <f>"2341202009140611043002"</f>
        <v>2341202009140611043002</v>
      </c>
      <c r="C2267" s="8" t="s">
        <v>10</v>
      </c>
      <c r="D2267" s="8" t="str">
        <f>"卓会玲"</f>
        <v>卓会玲</v>
      </c>
      <c r="E2267" s="8" t="str">
        <f t="shared" si="93"/>
        <v>女</v>
      </c>
      <c r="F2267" s="8" t="str">
        <f>"1985-06-06"</f>
        <v>1985-06-06</v>
      </c>
      <c r="G2267" s="9"/>
    </row>
    <row r="2268" spans="1:7" ht="13.5">
      <c r="A2268" s="7">
        <v>2266</v>
      </c>
      <c r="B2268" s="8" t="str">
        <f>"2341202009140825103014"</f>
        <v>2341202009140825103014</v>
      </c>
      <c r="C2268" s="8" t="s">
        <v>10</v>
      </c>
      <c r="D2268" s="8" t="str">
        <f>"朱龙聪"</f>
        <v>朱龙聪</v>
      </c>
      <c r="E2268" s="8" t="str">
        <f t="shared" si="93"/>
        <v>女</v>
      </c>
      <c r="F2268" s="8" t="str">
        <f>"1991-05-16"</f>
        <v>1991-05-16</v>
      </c>
      <c r="G2268" s="9"/>
    </row>
    <row r="2269" spans="1:7" ht="13.5">
      <c r="A2269" s="7">
        <v>2267</v>
      </c>
      <c r="B2269" s="8" t="str">
        <f>"2341202009140828253015"</f>
        <v>2341202009140828253015</v>
      </c>
      <c r="C2269" s="8" t="s">
        <v>10</v>
      </c>
      <c r="D2269" s="8" t="str">
        <f>"胡玲"</f>
        <v>胡玲</v>
      </c>
      <c r="E2269" s="8" t="str">
        <f t="shared" si="93"/>
        <v>女</v>
      </c>
      <c r="F2269" s="8" t="str">
        <f>"1989-03-05"</f>
        <v>1989-03-05</v>
      </c>
      <c r="G2269" s="9"/>
    </row>
    <row r="2270" spans="1:7" ht="13.5">
      <c r="A2270" s="7">
        <v>2268</v>
      </c>
      <c r="B2270" s="8" t="str">
        <f>"2341202009140831413017"</f>
        <v>2341202009140831413017</v>
      </c>
      <c r="C2270" s="8" t="s">
        <v>10</v>
      </c>
      <c r="D2270" s="8" t="str">
        <f>"宁小贤"</f>
        <v>宁小贤</v>
      </c>
      <c r="E2270" s="8" t="str">
        <f t="shared" si="93"/>
        <v>女</v>
      </c>
      <c r="F2270" s="8" t="str">
        <f>"1988-07-08"</f>
        <v>1988-07-08</v>
      </c>
      <c r="G2270" s="9"/>
    </row>
    <row r="2271" spans="1:7" ht="13.5">
      <c r="A2271" s="7">
        <v>2269</v>
      </c>
      <c r="B2271" s="8" t="str">
        <f>"2341202009140852083024"</f>
        <v>2341202009140852083024</v>
      </c>
      <c r="C2271" s="8" t="s">
        <v>10</v>
      </c>
      <c r="D2271" s="8" t="str">
        <f>"陈亮琼"</f>
        <v>陈亮琼</v>
      </c>
      <c r="E2271" s="8" t="str">
        <f t="shared" si="93"/>
        <v>女</v>
      </c>
      <c r="F2271" s="8" t="str">
        <f>"1992-08-23"</f>
        <v>1992-08-23</v>
      </c>
      <c r="G2271" s="9"/>
    </row>
    <row r="2272" spans="1:7" ht="13.5">
      <c r="A2272" s="7">
        <v>2270</v>
      </c>
      <c r="B2272" s="8" t="str">
        <f>"2341202009140907093031"</f>
        <v>2341202009140907093031</v>
      </c>
      <c r="C2272" s="8" t="s">
        <v>10</v>
      </c>
      <c r="D2272" s="8" t="str">
        <f>"符倩"</f>
        <v>符倩</v>
      </c>
      <c r="E2272" s="8" t="str">
        <f t="shared" si="93"/>
        <v>女</v>
      </c>
      <c r="F2272" s="8" t="str">
        <f>"1996-04-05"</f>
        <v>1996-04-05</v>
      </c>
      <c r="G2272" s="9"/>
    </row>
    <row r="2273" spans="1:7" ht="13.5">
      <c r="A2273" s="7">
        <v>2271</v>
      </c>
      <c r="B2273" s="8" t="str">
        <f>"2341202009140917333036"</f>
        <v>2341202009140917333036</v>
      </c>
      <c r="C2273" s="8" t="s">
        <v>10</v>
      </c>
      <c r="D2273" s="8" t="str">
        <f>"林炽瑜"</f>
        <v>林炽瑜</v>
      </c>
      <c r="E2273" s="8" t="str">
        <f t="shared" si="93"/>
        <v>女</v>
      </c>
      <c r="F2273" s="8" t="str">
        <f>"1996-09-11"</f>
        <v>1996-09-11</v>
      </c>
      <c r="G2273" s="9"/>
    </row>
    <row r="2274" spans="1:7" ht="13.5">
      <c r="A2274" s="7">
        <v>2272</v>
      </c>
      <c r="B2274" s="8" t="str">
        <f>"2341202009140943403042"</f>
        <v>2341202009140943403042</v>
      </c>
      <c r="C2274" s="8" t="s">
        <v>10</v>
      </c>
      <c r="D2274" s="8" t="str">
        <f>"陈有鸾"</f>
        <v>陈有鸾</v>
      </c>
      <c r="E2274" s="8" t="str">
        <f t="shared" si="93"/>
        <v>女</v>
      </c>
      <c r="F2274" s="8" t="str">
        <f>"1985-12-04"</f>
        <v>1985-12-04</v>
      </c>
      <c r="G2274" s="9"/>
    </row>
    <row r="2275" spans="1:7" ht="13.5">
      <c r="A2275" s="7">
        <v>2273</v>
      </c>
      <c r="B2275" s="8" t="str">
        <f>"2341202009140948323044"</f>
        <v>2341202009140948323044</v>
      </c>
      <c r="C2275" s="8" t="s">
        <v>10</v>
      </c>
      <c r="D2275" s="8" t="str">
        <f>"曾雪敏"</f>
        <v>曾雪敏</v>
      </c>
      <c r="E2275" s="8" t="str">
        <f t="shared" si="93"/>
        <v>女</v>
      </c>
      <c r="F2275" s="8" t="str">
        <f>"1995-09-09"</f>
        <v>1995-09-09</v>
      </c>
      <c r="G2275" s="9"/>
    </row>
    <row r="2276" spans="1:7" ht="13.5">
      <c r="A2276" s="7">
        <v>2274</v>
      </c>
      <c r="B2276" s="8" t="str">
        <f>"2341202009141044293063"</f>
        <v>2341202009141044293063</v>
      </c>
      <c r="C2276" s="8" t="s">
        <v>10</v>
      </c>
      <c r="D2276" s="8" t="str">
        <f>"降丽雪"</f>
        <v>降丽雪</v>
      </c>
      <c r="E2276" s="8" t="str">
        <f t="shared" si="93"/>
        <v>女</v>
      </c>
      <c r="F2276" s="8" t="str">
        <f>"1994-10-31"</f>
        <v>1994-10-31</v>
      </c>
      <c r="G2276" s="9"/>
    </row>
    <row r="2277" spans="1:7" ht="13.5">
      <c r="A2277" s="7">
        <v>2275</v>
      </c>
      <c r="B2277" s="8" t="str">
        <f>"2341202009141050333065"</f>
        <v>2341202009141050333065</v>
      </c>
      <c r="C2277" s="8" t="s">
        <v>10</v>
      </c>
      <c r="D2277" s="8" t="str">
        <f>"朱晓翠"</f>
        <v>朱晓翠</v>
      </c>
      <c r="E2277" s="8" t="str">
        <f t="shared" si="93"/>
        <v>女</v>
      </c>
      <c r="F2277" s="8" t="str">
        <f>"1993-08-26"</f>
        <v>1993-08-26</v>
      </c>
      <c r="G2277" s="9"/>
    </row>
    <row r="2278" spans="1:7" ht="13.5">
      <c r="A2278" s="7">
        <v>2276</v>
      </c>
      <c r="B2278" s="8" t="str">
        <f>"2341202009141141193087"</f>
        <v>2341202009141141193087</v>
      </c>
      <c r="C2278" s="8" t="s">
        <v>10</v>
      </c>
      <c r="D2278" s="8" t="str">
        <f>"刘伶俐"</f>
        <v>刘伶俐</v>
      </c>
      <c r="E2278" s="8" t="str">
        <f t="shared" si="93"/>
        <v>女</v>
      </c>
      <c r="F2278" s="8" t="str">
        <f>"1991-02-09"</f>
        <v>1991-02-09</v>
      </c>
      <c r="G2278" s="9"/>
    </row>
    <row r="2279" spans="1:7" ht="13.5">
      <c r="A2279" s="7">
        <v>2277</v>
      </c>
      <c r="B2279" s="8" t="str">
        <f>"2341202009141144453088"</f>
        <v>2341202009141144453088</v>
      </c>
      <c r="C2279" s="8" t="s">
        <v>10</v>
      </c>
      <c r="D2279" s="8" t="str">
        <f>"苏慧子"</f>
        <v>苏慧子</v>
      </c>
      <c r="E2279" s="8" t="str">
        <f t="shared" si="93"/>
        <v>女</v>
      </c>
      <c r="F2279" s="8" t="str">
        <f>"1994-06-13"</f>
        <v>1994-06-13</v>
      </c>
      <c r="G2279" s="9"/>
    </row>
    <row r="2280" spans="1:7" ht="13.5">
      <c r="A2280" s="7">
        <v>2278</v>
      </c>
      <c r="B2280" s="8" t="str">
        <f>"2341202009141155143092"</f>
        <v>2341202009141155143092</v>
      </c>
      <c r="C2280" s="8" t="s">
        <v>10</v>
      </c>
      <c r="D2280" s="8" t="str">
        <f>"符华艳"</f>
        <v>符华艳</v>
      </c>
      <c r="E2280" s="8" t="str">
        <f t="shared" si="93"/>
        <v>女</v>
      </c>
      <c r="F2280" s="8" t="str">
        <f>"1994-08-29"</f>
        <v>1994-08-29</v>
      </c>
      <c r="G2280" s="9"/>
    </row>
    <row r="2281" spans="1:7" ht="13.5">
      <c r="A2281" s="7">
        <v>2279</v>
      </c>
      <c r="B2281" s="8" t="str">
        <f>"2341202009141210513103"</f>
        <v>2341202009141210513103</v>
      </c>
      <c r="C2281" s="8" t="s">
        <v>10</v>
      </c>
      <c r="D2281" s="8" t="str">
        <f>"林小菊"</f>
        <v>林小菊</v>
      </c>
      <c r="E2281" s="8" t="str">
        <f t="shared" si="93"/>
        <v>女</v>
      </c>
      <c r="F2281" s="8" t="str">
        <f>"1991-09-29"</f>
        <v>1991-09-29</v>
      </c>
      <c r="G2281" s="9"/>
    </row>
    <row r="2282" spans="1:7" ht="13.5">
      <c r="A2282" s="7">
        <v>2280</v>
      </c>
      <c r="B2282" s="8" t="str">
        <f>"2341202009141218363108"</f>
        <v>2341202009141218363108</v>
      </c>
      <c r="C2282" s="8" t="s">
        <v>10</v>
      </c>
      <c r="D2282" s="8" t="str">
        <f>"符丹凤"</f>
        <v>符丹凤</v>
      </c>
      <c r="E2282" s="8" t="str">
        <f t="shared" si="93"/>
        <v>女</v>
      </c>
      <c r="F2282" s="8" t="str">
        <f>"1995-04-12"</f>
        <v>1995-04-12</v>
      </c>
      <c r="G2282" s="9"/>
    </row>
    <row r="2283" spans="1:7" ht="13.5">
      <c r="A2283" s="7">
        <v>2281</v>
      </c>
      <c r="B2283" s="8" t="str">
        <f>"2341202009141239273121"</f>
        <v>2341202009141239273121</v>
      </c>
      <c r="C2283" s="8" t="s">
        <v>10</v>
      </c>
      <c r="D2283" s="8" t="str">
        <f>"陈景寨"</f>
        <v>陈景寨</v>
      </c>
      <c r="E2283" s="8" t="str">
        <f t="shared" si="93"/>
        <v>女</v>
      </c>
      <c r="F2283" s="8" t="str">
        <f>"1992-09-03"</f>
        <v>1992-09-03</v>
      </c>
      <c r="G2283" s="9"/>
    </row>
    <row r="2284" spans="1:7" ht="13.5">
      <c r="A2284" s="7">
        <v>2282</v>
      </c>
      <c r="B2284" s="8" t="str">
        <f>"2341202009141239523122"</f>
        <v>2341202009141239523122</v>
      </c>
      <c r="C2284" s="8" t="s">
        <v>10</v>
      </c>
      <c r="D2284" s="8" t="str">
        <f>"田慧"</f>
        <v>田慧</v>
      </c>
      <c r="E2284" s="8" t="str">
        <f t="shared" si="93"/>
        <v>女</v>
      </c>
      <c r="F2284" s="8" t="str">
        <f>"1986-09-21"</f>
        <v>1986-09-21</v>
      </c>
      <c r="G2284" s="9"/>
    </row>
    <row r="2285" spans="1:7" ht="13.5">
      <c r="A2285" s="7">
        <v>2283</v>
      </c>
      <c r="B2285" s="8" t="str">
        <f>"2341202009141241043126"</f>
        <v>2341202009141241043126</v>
      </c>
      <c r="C2285" s="8" t="s">
        <v>10</v>
      </c>
      <c r="D2285" s="8" t="str">
        <f>"徐文玲"</f>
        <v>徐文玲</v>
      </c>
      <c r="E2285" s="8" t="str">
        <f t="shared" si="93"/>
        <v>女</v>
      </c>
      <c r="F2285" s="8" t="str">
        <f>"1995-07-08"</f>
        <v>1995-07-08</v>
      </c>
      <c r="G2285" s="9"/>
    </row>
    <row r="2286" spans="1:7" ht="13.5">
      <c r="A2286" s="7">
        <v>2284</v>
      </c>
      <c r="B2286" s="8" t="str">
        <f>"2341202009141247573129"</f>
        <v>2341202009141247573129</v>
      </c>
      <c r="C2286" s="8" t="s">
        <v>10</v>
      </c>
      <c r="D2286" s="8" t="str">
        <f>"李肇林"</f>
        <v>李肇林</v>
      </c>
      <c r="E2286" s="8" t="str">
        <f t="shared" si="93"/>
        <v>女</v>
      </c>
      <c r="F2286" s="8" t="str">
        <f>"1990-08-14"</f>
        <v>1990-08-14</v>
      </c>
      <c r="G2286" s="9"/>
    </row>
    <row r="2287" spans="1:7" ht="13.5">
      <c r="A2287" s="7">
        <v>2285</v>
      </c>
      <c r="B2287" s="8" t="str">
        <f>"2341202009141249003130"</f>
        <v>2341202009141249003130</v>
      </c>
      <c r="C2287" s="8" t="s">
        <v>10</v>
      </c>
      <c r="D2287" s="8" t="str">
        <f>"陈锦霜"</f>
        <v>陈锦霜</v>
      </c>
      <c r="E2287" s="8" t="str">
        <f>"男"</f>
        <v>男</v>
      </c>
      <c r="F2287" s="8" t="str">
        <f>"1992-11-26"</f>
        <v>1992-11-26</v>
      </c>
      <c r="G2287" s="9"/>
    </row>
    <row r="2288" spans="1:7" ht="13.5">
      <c r="A2288" s="7">
        <v>2286</v>
      </c>
      <c r="B2288" s="8" t="str">
        <f>"2341202009141305583143"</f>
        <v>2341202009141305583143</v>
      </c>
      <c r="C2288" s="8" t="s">
        <v>10</v>
      </c>
      <c r="D2288" s="8" t="str">
        <f>"麦瑶"</f>
        <v>麦瑶</v>
      </c>
      <c r="E2288" s="8" t="str">
        <f aca="true" t="shared" si="94" ref="E2288:E2313">"女"</f>
        <v>女</v>
      </c>
      <c r="F2288" s="8" t="str">
        <f>"1988-11-25"</f>
        <v>1988-11-25</v>
      </c>
      <c r="G2288" s="9"/>
    </row>
    <row r="2289" spans="1:7" ht="13.5">
      <c r="A2289" s="7">
        <v>2287</v>
      </c>
      <c r="B2289" s="8" t="str">
        <f>"2341202009141318113152"</f>
        <v>2341202009141318113152</v>
      </c>
      <c r="C2289" s="8" t="s">
        <v>10</v>
      </c>
      <c r="D2289" s="8" t="str">
        <f>"卢裕月"</f>
        <v>卢裕月</v>
      </c>
      <c r="E2289" s="8" t="str">
        <f t="shared" si="94"/>
        <v>女</v>
      </c>
      <c r="F2289" s="8" t="str">
        <f>"1995-05-07"</f>
        <v>1995-05-07</v>
      </c>
      <c r="G2289" s="9"/>
    </row>
    <row r="2290" spans="1:7" ht="13.5">
      <c r="A2290" s="7">
        <v>2288</v>
      </c>
      <c r="B2290" s="8" t="str">
        <f>"2341202009141323103156"</f>
        <v>2341202009141323103156</v>
      </c>
      <c r="C2290" s="8" t="s">
        <v>10</v>
      </c>
      <c r="D2290" s="8" t="str">
        <f>"余本兴"</f>
        <v>余本兴</v>
      </c>
      <c r="E2290" s="8" t="str">
        <f t="shared" si="94"/>
        <v>女</v>
      </c>
      <c r="F2290" s="8" t="str">
        <f>"1993-11-14"</f>
        <v>1993-11-14</v>
      </c>
      <c r="G2290" s="9"/>
    </row>
    <row r="2291" spans="1:7" ht="13.5">
      <c r="A2291" s="7">
        <v>2289</v>
      </c>
      <c r="B2291" s="8" t="str">
        <f>"2341202009141332323161"</f>
        <v>2341202009141332323161</v>
      </c>
      <c r="C2291" s="8" t="s">
        <v>10</v>
      </c>
      <c r="D2291" s="8" t="str">
        <f>"饶建宇"</f>
        <v>饶建宇</v>
      </c>
      <c r="E2291" s="8" t="str">
        <f t="shared" si="94"/>
        <v>女</v>
      </c>
      <c r="F2291" s="8" t="str">
        <f>"1998-02-01"</f>
        <v>1998-02-01</v>
      </c>
      <c r="G2291" s="9"/>
    </row>
    <row r="2292" spans="1:7" ht="13.5">
      <c r="A2292" s="7">
        <v>2290</v>
      </c>
      <c r="B2292" s="8" t="str">
        <f>"2341202009141334153162"</f>
        <v>2341202009141334153162</v>
      </c>
      <c r="C2292" s="8" t="s">
        <v>10</v>
      </c>
      <c r="D2292" s="8" t="str">
        <f>"李娴"</f>
        <v>李娴</v>
      </c>
      <c r="E2292" s="8" t="str">
        <f t="shared" si="94"/>
        <v>女</v>
      </c>
      <c r="F2292" s="8" t="str">
        <f>"1991-11-15"</f>
        <v>1991-11-15</v>
      </c>
      <c r="G2292" s="9"/>
    </row>
    <row r="2293" spans="1:7" ht="13.5">
      <c r="A2293" s="7">
        <v>2291</v>
      </c>
      <c r="B2293" s="8" t="str">
        <f>"2341202009141340323164"</f>
        <v>2341202009141340323164</v>
      </c>
      <c r="C2293" s="8" t="s">
        <v>10</v>
      </c>
      <c r="D2293" s="8" t="str">
        <f>"文淑慧"</f>
        <v>文淑慧</v>
      </c>
      <c r="E2293" s="8" t="str">
        <f t="shared" si="94"/>
        <v>女</v>
      </c>
      <c r="F2293" s="8" t="str">
        <f>"1994-09-02"</f>
        <v>1994-09-02</v>
      </c>
      <c r="G2293" s="9"/>
    </row>
    <row r="2294" spans="1:7" ht="13.5">
      <c r="A2294" s="7">
        <v>2292</v>
      </c>
      <c r="B2294" s="8" t="str">
        <f>"2341202009141356133168"</f>
        <v>2341202009141356133168</v>
      </c>
      <c r="C2294" s="8" t="s">
        <v>10</v>
      </c>
      <c r="D2294" s="8" t="str">
        <f>"符妍莲"</f>
        <v>符妍莲</v>
      </c>
      <c r="E2294" s="8" t="str">
        <f t="shared" si="94"/>
        <v>女</v>
      </c>
      <c r="F2294" s="8" t="str">
        <f>"1993-11-28"</f>
        <v>1993-11-28</v>
      </c>
      <c r="G2294" s="9"/>
    </row>
    <row r="2295" spans="1:7" ht="13.5">
      <c r="A2295" s="7">
        <v>2293</v>
      </c>
      <c r="B2295" s="8" t="str">
        <f>"2341202009141400043169"</f>
        <v>2341202009141400043169</v>
      </c>
      <c r="C2295" s="8" t="s">
        <v>10</v>
      </c>
      <c r="D2295" s="8" t="str">
        <f>"符谷丹"</f>
        <v>符谷丹</v>
      </c>
      <c r="E2295" s="8" t="str">
        <f t="shared" si="94"/>
        <v>女</v>
      </c>
      <c r="F2295" s="8" t="str">
        <f>"1993-03-19"</f>
        <v>1993-03-19</v>
      </c>
      <c r="G2295" s="9"/>
    </row>
    <row r="2296" spans="1:7" ht="13.5">
      <c r="A2296" s="7">
        <v>2294</v>
      </c>
      <c r="B2296" s="8" t="str">
        <f>"2341202009141437263180"</f>
        <v>2341202009141437263180</v>
      </c>
      <c r="C2296" s="8" t="s">
        <v>10</v>
      </c>
      <c r="D2296" s="8" t="str">
        <f>"董丹丽"</f>
        <v>董丹丽</v>
      </c>
      <c r="E2296" s="8" t="str">
        <f t="shared" si="94"/>
        <v>女</v>
      </c>
      <c r="F2296" s="8" t="str">
        <f>"1990-02-28"</f>
        <v>1990-02-28</v>
      </c>
      <c r="G2296" s="9"/>
    </row>
    <row r="2297" spans="1:7" ht="13.5">
      <c r="A2297" s="7">
        <v>2295</v>
      </c>
      <c r="B2297" s="8" t="str">
        <f>"2341202009141441233181"</f>
        <v>2341202009141441233181</v>
      </c>
      <c r="C2297" s="8" t="s">
        <v>10</v>
      </c>
      <c r="D2297" s="8" t="str">
        <f>"符明敏"</f>
        <v>符明敏</v>
      </c>
      <c r="E2297" s="8" t="str">
        <f t="shared" si="94"/>
        <v>女</v>
      </c>
      <c r="F2297" s="8" t="str">
        <f>"1994-07-06"</f>
        <v>1994-07-06</v>
      </c>
      <c r="G2297" s="9"/>
    </row>
    <row r="2298" spans="1:7" ht="13.5">
      <c r="A2298" s="7">
        <v>2296</v>
      </c>
      <c r="B2298" s="8" t="str">
        <f>"2341202009141449373190"</f>
        <v>2341202009141449373190</v>
      </c>
      <c r="C2298" s="8" t="s">
        <v>10</v>
      </c>
      <c r="D2298" s="8" t="str">
        <f>"张元"</f>
        <v>张元</v>
      </c>
      <c r="E2298" s="8" t="str">
        <f t="shared" si="94"/>
        <v>女</v>
      </c>
      <c r="F2298" s="8" t="str">
        <f>"1986-06-27"</f>
        <v>1986-06-27</v>
      </c>
      <c r="G2298" s="9"/>
    </row>
    <row r="2299" spans="1:7" ht="13.5">
      <c r="A2299" s="7">
        <v>2297</v>
      </c>
      <c r="B2299" s="8" t="str">
        <f>"2341202009141455463195"</f>
        <v>2341202009141455463195</v>
      </c>
      <c r="C2299" s="8" t="s">
        <v>10</v>
      </c>
      <c r="D2299" s="8" t="str">
        <f>"罗晶莹"</f>
        <v>罗晶莹</v>
      </c>
      <c r="E2299" s="8" t="str">
        <f t="shared" si="94"/>
        <v>女</v>
      </c>
      <c r="F2299" s="8" t="str">
        <f>"1994-02-18"</f>
        <v>1994-02-18</v>
      </c>
      <c r="G2299" s="9"/>
    </row>
    <row r="2300" spans="1:7" ht="13.5">
      <c r="A2300" s="7">
        <v>2298</v>
      </c>
      <c r="B2300" s="8" t="str">
        <f>"2341202009141502043199"</f>
        <v>2341202009141502043199</v>
      </c>
      <c r="C2300" s="8" t="s">
        <v>10</v>
      </c>
      <c r="D2300" s="8" t="str">
        <f>"杨莉莎"</f>
        <v>杨莉莎</v>
      </c>
      <c r="E2300" s="8" t="str">
        <f t="shared" si="94"/>
        <v>女</v>
      </c>
      <c r="F2300" s="8" t="str">
        <f>"1991-02-02"</f>
        <v>1991-02-02</v>
      </c>
      <c r="G2300" s="9"/>
    </row>
    <row r="2301" spans="1:7" ht="13.5">
      <c r="A2301" s="7">
        <v>2299</v>
      </c>
      <c r="B2301" s="8" t="str">
        <f>"2341202009141503443200"</f>
        <v>2341202009141503443200</v>
      </c>
      <c r="C2301" s="8" t="s">
        <v>10</v>
      </c>
      <c r="D2301" s="8" t="str">
        <f>"徐莉雅"</f>
        <v>徐莉雅</v>
      </c>
      <c r="E2301" s="8" t="str">
        <f t="shared" si="94"/>
        <v>女</v>
      </c>
      <c r="F2301" s="8" t="str">
        <f>"1995-02-03"</f>
        <v>1995-02-03</v>
      </c>
      <c r="G2301" s="9"/>
    </row>
    <row r="2302" spans="1:7" ht="13.5">
      <c r="A2302" s="7">
        <v>2300</v>
      </c>
      <c r="B2302" s="8" t="str">
        <f>"2341202009141512563205"</f>
        <v>2341202009141512563205</v>
      </c>
      <c r="C2302" s="8" t="s">
        <v>10</v>
      </c>
      <c r="D2302" s="8" t="str">
        <f>"孙梓畅"</f>
        <v>孙梓畅</v>
      </c>
      <c r="E2302" s="8" t="str">
        <f t="shared" si="94"/>
        <v>女</v>
      </c>
      <c r="F2302" s="8" t="str">
        <f>"1994-09-24"</f>
        <v>1994-09-24</v>
      </c>
      <c r="G2302" s="9"/>
    </row>
    <row r="2303" spans="1:7" ht="13.5">
      <c r="A2303" s="7">
        <v>2301</v>
      </c>
      <c r="B2303" s="8" t="str">
        <f>"2341202009141519033209"</f>
        <v>2341202009141519033209</v>
      </c>
      <c r="C2303" s="8" t="s">
        <v>10</v>
      </c>
      <c r="D2303" s="8" t="str">
        <f>"符平妹"</f>
        <v>符平妹</v>
      </c>
      <c r="E2303" s="8" t="str">
        <f t="shared" si="94"/>
        <v>女</v>
      </c>
      <c r="F2303" s="8" t="str">
        <f>"1990-07-21"</f>
        <v>1990-07-21</v>
      </c>
      <c r="G2303" s="9"/>
    </row>
    <row r="2304" spans="1:7" ht="13.5">
      <c r="A2304" s="7">
        <v>2302</v>
      </c>
      <c r="B2304" s="8" t="str">
        <f>"2341202009141523103213"</f>
        <v>2341202009141523103213</v>
      </c>
      <c r="C2304" s="8" t="s">
        <v>10</v>
      </c>
      <c r="D2304" s="8" t="str">
        <f>"林洁秋"</f>
        <v>林洁秋</v>
      </c>
      <c r="E2304" s="8" t="str">
        <f t="shared" si="94"/>
        <v>女</v>
      </c>
      <c r="F2304" s="8" t="str">
        <f>"1989-08-04"</f>
        <v>1989-08-04</v>
      </c>
      <c r="G2304" s="9"/>
    </row>
    <row r="2305" spans="1:7" ht="13.5">
      <c r="A2305" s="7">
        <v>2303</v>
      </c>
      <c r="B2305" s="8" t="str">
        <f>"2341202009141527423216"</f>
        <v>2341202009141527423216</v>
      </c>
      <c r="C2305" s="8" t="s">
        <v>10</v>
      </c>
      <c r="D2305" s="8" t="str">
        <f>"陈元芳"</f>
        <v>陈元芳</v>
      </c>
      <c r="E2305" s="8" t="str">
        <f t="shared" si="94"/>
        <v>女</v>
      </c>
      <c r="F2305" s="8" t="str">
        <f>"1997-10-18"</f>
        <v>1997-10-18</v>
      </c>
      <c r="G2305" s="9"/>
    </row>
    <row r="2306" spans="1:7" ht="13.5">
      <c r="A2306" s="7">
        <v>2304</v>
      </c>
      <c r="B2306" s="8" t="str">
        <f>"2341202009141531213218"</f>
        <v>2341202009141531213218</v>
      </c>
      <c r="C2306" s="8" t="s">
        <v>10</v>
      </c>
      <c r="D2306" s="8" t="str">
        <f>"徐志萍"</f>
        <v>徐志萍</v>
      </c>
      <c r="E2306" s="8" t="str">
        <f t="shared" si="94"/>
        <v>女</v>
      </c>
      <c r="F2306" s="8" t="str">
        <f>"1997-07-10"</f>
        <v>1997-07-10</v>
      </c>
      <c r="G2306" s="9"/>
    </row>
    <row r="2307" spans="1:7" ht="13.5">
      <c r="A2307" s="7">
        <v>2305</v>
      </c>
      <c r="B2307" s="8" t="str">
        <f>"2341202009141535543221"</f>
        <v>2341202009141535543221</v>
      </c>
      <c r="C2307" s="8" t="s">
        <v>10</v>
      </c>
      <c r="D2307" s="8" t="str">
        <f>"麦萍"</f>
        <v>麦萍</v>
      </c>
      <c r="E2307" s="8" t="str">
        <f t="shared" si="94"/>
        <v>女</v>
      </c>
      <c r="F2307" s="8" t="str">
        <f>"1993-07-14"</f>
        <v>1993-07-14</v>
      </c>
      <c r="G2307" s="9"/>
    </row>
    <row r="2308" spans="1:7" ht="13.5">
      <c r="A2308" s="7">
        <v>2306</v>
      </c>
      <c r="B2308" s="8" t="str">
        <f>"2341202009141537213223"</f>
        <v>2341202009141537213223</v>
      </c>
      <c r="C2308" s="8" t="s">
        <v>10</v>
      </c>
      <c r="D2308" s="8" t="str">
        <f>"王燕"</f>
        <v>王燕</v>
      </c>
      <c r="E2308" s="8" t="str">
        <f t="shared" si="94"/>
        <v>女</v>
      </c>
      <c r="F2308" s="8" t="str">
        <f>"1996-04-07"</f>
        <v>1996-04-07</v>
      </c>
      <c r="G2308" s="9"/>
    </row>
    <row r="2309" spans="1:7" ht="13.5">
      <c r="A2309" s="7">
        <v>2307</v>
      </c>
      <c r="B2309" s="8" t="str">
        <f>"2341202009141546213227"</f>
        <v>2341202009141546213227</v>
      </c>
      <c r="C2309" s="8" t="s">
        <v>10</v>
      </c>
      <c r="D2309" s="8" t="str">
        <f>"刘娜"</f>
        <v>刘娜</v>
      </c>
      <c r="E2309" s="8" t="str">
        <f t="shared" si="94"/>
        <v>女</v>
      </c>
      <c r="F2309" s="8" t="str">
        <f>"1997-02-22"</f>
        <v>1997-02-22</v>
      </c>
      <c r="G2309" s="9"/>
    </row>
    <row r="2310" spans="1:7" ht="13.5">
      <c r="A2310" s="7">
        <v>2308</v>
      </c>
      <c r="B2310" s="8" t="str">
        <f>"2341202009141555163231"</f>
        <v>2341202009141555163231</v>
      </c>
      <c r="C2310" s="8" t="s">
        <v>10</v>
      </c>
      <c r="D2310" s="8" t="str">
        <f>"陈泽妙"</f>
        <v>陈泽妙</v>
      </c>
      <c r="E2310" s="8" t="str">
        <f t="shared" si="94"/>
        <v>女</v>
      </c>
      <c r="F2310" s="8" t="str">
        <f>"1994-01-01"</f>
        <v>1994-01-01</v>
      </c>
      <c r="G2310" s="9"/>
    </row>
    <row r="2311" spans="1:7" ht="13.5">
      <c r="A2311" s="7">
        <v>2309</v>
      </c>
      <c r="B2311" s="8" t="str">
        <f>"2341202009141555553232"</f>
        <v>2341202009141555553232</v>
      </c>
      <c r="C2311" s="8" t="s">
        <v>10</v>
      </c>
      <c r="D2311" s="8" t="str">
        <f>"王雲"</f>
        <v>王雲</v>
      </c>
      <c r="E2311" s="8" t="str">
        <f t="shared" si="94"/>
        <v>女</v>
      </c>
      <c r="F2311" s="8" t="str">
        <f>"1990-02-06"</f>
        <v>1990-02-06</v>
      </c>
      <c r="G2311" s="9"/>
    </row>
    <row r="2312" spans="1:7" ht="13.5">
      <c r="A2312" s="7">
        <v>2310</v>
      </c>
      <c r="B2312" s="8" t="str">
        <f>"2341202009141615583243"</f>
        <v>2341202009141615583243</v>
      </c>
      <c r="C2312" s="8" t="s">
        <v>10</v>
      </c>
      <c r="D2312" s="8" t="str">
        <f>"陈萍萍"</f>
        <v>陈萍萍</v>
      </c>
      <c r="E2312" s="8" t="str">
        <f t="shared" si="94"/>
        <v>女</v>
      </c>
      <c r="F2312" s="8" t="str">
        <f>"1992-05-21"</f>
        <v>1992-05-21</v>
      </c>
      <c r="G2312" s="9"/>
    </row>
    <row r="2313" spans="1:7" ht="13.5">
      <c r="A2313" s="7">
        <v>2311</v>
      </c>
      <c r="B2313" s="8" t="str">
        <f>"23412020083110045690"</f>
        <v>23412020083110045690</v>
      </c>
      <c r="C2313" s="8" t="s">
        <v>11</v>
      </c>
      <c r="D2313" s="8" t="str">
        <f>"王艳"</f>
        <v>王艳</v>
      </c>
      <c r="E2313" s="8" t="str">
        <f t="shared" si="94"/>
        <v>女</v>
      </c>
      <c r="F2313" s="8" t="str">
        <f>"1997-05-30"</f>
        <v>1997-05-30</v>
      </c>
      <c r="G2313" s="9"/>
    </row>
    <row r="2314" spans="1:7" ht="13.5">
      <c r="A2314" s="7">
        <v>2312</v>
      </c>
      <c r="B2314" s="8" t="str">
        <f>"234120200831125821274"</f>
        <v>234120200831125821274</v>
      </c>
      <c r="C2314" s="8" t="s">
        <v>11</v>
      </c>
      <c r="D2314" s="8" t="str">
        <f>"莫光钦"</f>
        <v>莫光钦</v>
      </c>
      <c r="E2314" s="8" t="str">
        <f>"男"</f>
        <v>男</v>
      </c>
      <c r="F2314" s="8" t="str">
        <f>"1990-05-04"</f>
        <v>1990-05-04</v>
      </c>
      <c r="G2314" s="9"/>
    </row>
    <row r="2315" spans="1:7" ht="13.5">
      <c r="A2315" s="7">
        <v>2313</v>
      </c>
      <c r="B2315" s="8" t="str">
        <f>"234120200831141250311"</f>
        <v>234120200831141250311</v>
      </c>
      <c r="C2315" s="8" t="s">
        <v>11</v>
      </c>
      <c r="D2315" s="8" t="str">
        <f>"李皎余"</f>
        <v>李皎余</v>
      </c>
      <c r="E2315" s="8" t="str">
        <f aca="true" t="shared" si="95" ref="E2315:E2328">"女"</f>
        <v>女</v>
      </c>
      <c r="F2315" s="8" t="str">
        <f>"1987-02-04"</f>
        <v>1987-02-04</v>
      </c>
      <c r="G2315" s="9"/>
    </row>
    <row r="2316" spans="1:7" ht="13.5">
      <c r="A2316" s="7">
        <v>2314</v>
      </c>
      <c r="B2316" s="8" t="str">
        <f>"234120200831170110408"</f>
        <v>234120200831170110408</v>
      </c>
      <c r="C2316" s="8" t="s">
        <v>11</v>
      </c>
      <c r="D2316" s="8" t="str">
        <f>"付汝娟"</f>
        <v>付汝娟</v>
      </c>
      <c r="E2316" s="8" t="str">
        <f t="shared" si="95"/>
        <v>女</v>
      </c>
      <c r="F2316" s="8" t="str">
        <f>"1990-12-08"</f>
        <v>1990-12-08</v>
      </c>
      <c r="G2316" s="9"/>
    </row>
    <row r="2317" spans="1:7" ht="13.5">
      <c r="A2317" s="7">
        <v>2315</v>
      </c>
      <c r="B2317" s="8" t="str">
        <f>"234120200831171650415"</f>
        <v>234120200831171650415</v>
      </c>
      <c r="C2317" s="8" t="s">
        <v>11</v>
      </c>
      <c r="D2317" s="8" t="str">
        <f>"韦广慧"</f>
        <v>韦广慧</v>
      </c>
      <c r="E2317" s="8" t="str">
        <f t="shared" si="95"/>
        <v>女</v>
      </c>
      <c r="F2317" s="8" t="str">
        <f>"1997-02-08"</f>
        <v>1997-02-08</v>
      </c>
      <c r="G2317" s="9"/>
    </row>
    <row r="2318" spans="1:7" ht="13.5">
      <c r="A2318" s="7">
        <v>2316</v>
      </c>
      <c r="B2318" s="8" t="str">
        <f>"234120200831192338472"</f>
        <v>234120200831192338472</v>
      </c>
      <c r="C2318" s="8" t="s">
        <v>11</v>
      </c>
      <c r="D2318" s="8" t="str">
        <f>"曾显花"</f>
        <v>曾显花</v>
      </c>
      <c r="E2318" s="8" t="str">
        <f t="shared" si="95"/>
        <v>女</v>
      </c>
      <c r="F2318" s="8" t="str">
        <f>"1995-03-26"</f>
        <v>1995-03-26</v>
      </c>
      <c r="G2318" s="9"/>
    </row>
    <row r="2319" spans="1:7" ht="13.5">
      <c r="A2319" s="7">
        <v>2317</v>
      </c>
      <c r="B2319" s="8" t="str">
        <f>"234120200831204702513"</f>
        <v>234120200831204702513</v>
      </c>
      <c r="C2319" s="8" t="s">
        <v>11</v>
      </c>
      <c r="D2319" s="8" t="str">
        <f>"黎惠娴"</f>
        <v>黎惠娴</v>
      </c>
      <c r="E2319" s="8" t="str">
        <f t="shared" si="95"/>
        <v>女</v>
      </c>
      <c r="F2319" s="8" t="str">
        <f>"1997-07-09"</f>
        <v>1997-07-09</v>
      </c>
      <c r="G2319" s="9"/>
    </row>
    <row r="2320" spans="1:7" ht="13.5">
      <c r="A2320" s="7">
        <v>2318</v>
      </c>
      <c r="B2320" s="8" t="str">
        <f>"234120200831211003523"</f>
        <v>234120200831211003523</v>
      </c>
      <c r="C2320" s="8" t="s">
        <v>11</v>
      </c>
      <c r="D2320" s="8" t="str">
        <f>"周春吟"</f>
        <v>周春吟</v>
      </c>
      <c r="E2320" s="8" t="str">
        <f t="shared" si="95"/>
        <v>女</v>
      </c>
      <c r="F2320" s="8" t="str">
        <f>"1992-02-23"</f>
        <v>1992-02-23</v>
      </c>
      <c r="G2320" s="9"/>
    </row>
    <row r="2321" spans="1:7" ht="13.5">
      <c r="A2321" s="7">
        <v>2319</v>
      </c>
      <c r="B2321" s="8" t="str">
        <f>"234120200831221936548"</f>
        <v>234120200831221936548</v>
      </c>
      <c r="C2321" s="8" t="s">
        <v>11</v>
      </c>
      <c r="D2321" s="8" t="str">
        <f>"陈冰"</f>
        <v>陈冰</v>
      </c>
      <c r="E2321" s="8" t="str">
        <f t="shared" si="95"/>
        <v>女</v>
      </c>
      <c r="F2321" s="8" t="str">
        <f>"1999-06-18"</f>
        <v>1999-06-18</v>
      </c>
      <c r="G2321" s="9"/>
    </row>
    <row r="2322" spans="1:7" ht="13.5">
      <c r="A2322" s="7">
        <v>2320</v>
      </c>
      <c r="B2322" s="8" t="str">
        <f>"234120200901091523602"</f>
        <v>234120200901091523602</v>
      </c>
      <c r="C2322" s="8" t="s">
        <v>11</v>
      </c>
      <c r="D2322" s="8" t="str">
        <f>"符慧卉"</f>
        <v>符慧卉</v>
      </c>
      <c r="E2322" s="8" t="str">
        <f t="shared" si="95"/>
        <v>女</v>
      </c>
      <c r="F2322" s="8" t="str">
        <f>"1995-05-05"</f>
        <v>1995-05-05</v>
      </c>
      <c r="G2322" s="9"/>
    </row>
    <row r="2323" spans="1:7" ht="13.5">
      <c r="A2323" s="7">
        <v>2321</v>
      </c>
      <c r="B2323" s="8" t="str">
        <f>"234120200901100637630"</f>
        <v>234120200901100637630</v>
      </c>
      <c r="C2323" s="8" t="s">
        <v>11</v>
      </c>
      <c r="D2323" s="8" t="str">
        <f>"王佳佳"</f>
        <v>王佳佳</v>
      </c>
      <c r="E2323" s="8" t="str">
        <f t="shared" si="95"/>
        <v>女</v>
      </c>
      <c r="F2323" s="8" t="str">
        <f>"1992-09-18"</f>
        <v>1992-09-18</v>
      </c>
      <c r="G2323" s="9"/>
    </row>
    <row r="2324" spans="1:7" ht="13.5">
      <c r="A2324" s="7">
        <v>2322</v>
      </c>
      <c r="B2324" s="8" t="str">
        <f>"234120200901103420656"</f>
        <v>234120200901103420656</v>
      </c>
      <c r="C2324" s="8" t="s">
        <v>11</v>
      </c>
      <c r="D2324" s="8" t="str">
        <f>"苏时叶"</f>
        <v>苏时叶</v>
      </c>
      <c r="E2324" s="8" t="str">
        <f t="shared" si="95"/>
        <v>女</v>
      </c>
      <c r="F2324" s="8" t="str">
        <f>"1994-11-12"</f>
        <v>1994-11-12</v>
      </c>
      <c r="G2324" s="9"/>
    </row>
    <row r="2325" spans="1:7" ht="13.5">
      <c r="A2325" s="7">
        <v>2323</v>
      </c>
      <c r="B2325" s="8" t="str">
        <f>"234120200901105726668"</f>
        <v>234120200901105726668</v>
      </c>
      <c r="C2325" s="8" t="s">
        <v>11</v>
      </c>
      <c r="D2325" s="8" t="str">
        <f>"吴维娇"</f>
        <v>吴维娇</v>
      </c>
      <c r="E2325" s="8" t="str">
        <f t="shared" si="95"/>
        <v>女</v>
      </c>
      <c r="F2325" s="8" t="str">
        <f>"1997-05-07"</f>
        <v>1997-05-07</v>
      </c>
      <c r="G2325" s="9"/>
    </row>
    <row r="2326" spans="1:7" ht="13.5">
      <c r="A2326" s="7">
        <v>2324</v>
      </c>
      <c r="B2326" s="8" t="str">
        <f>"234120200901111708683"</f>
        <v>234120200901111708683</v>
      </c>
      <c r="C2326" s="8" t="s">
        <v>11</v>
      </c>
      <c r="D2326" s="8" t="str">
        <f>"苏文尽"</f>
        <v>苏文尽</v>
      </c>
      <c r="E2326" s="8" t="str">
        <f t="shared" si="95"/>
        <v>女</v>
      </c>
      <c r="F2326" s="8" t="str">
        <f>"1998-09-10"</f>
        <v>1998-09-10</v>
      </c>
      <c r="G2326" s="9"/>
    </row>
    <row r="2327" spans="1:7" ht="13.5">
      <c r="A2327" s="7">
        <v>2325</v>
      </c>
      <c r="B2327" s="8" t="str">
        <f>"234120200901125047723"</f>
        <v>234120200901125047723</v>
      </c>
      <c r="C2327" s="8" t="s">
        <v>11</v>
      </c>
      <c r="D2327" s="8" t="str">
        <f>"符克泥"</f>
        <v>符克泥</v>
      </c>
      <c r="E2327" s="8" t="str">
        <f t="shared" si="95"/>
        <v>女</v>
      </c>
      <c r="F2327" s="8" t="str">
        <f>"1995-08-01"</f>
        <v>1995-08-01</v>
      </c>
      <c r="G2327" s="9"/>
    </row>
    <row r="2328" spans="1:7" ht="13.5">
      <c r="A2328" s="7">
        <v>2326</v>
      </c>
      <c r="B2328" s="8" t="str">
        <f>"234120200901142016745"</f>
        <v>234120200901142016745</v>
      </c>
      <c r="C2328" s="8" t="s">
        <v>11</v>
      </c>
      <c r="D2328" s="8" t="str">
        <f>"蔡程冰"</f>
        <v>蔡程冰</v>
      </c>
      <c r="E2328" s="8" t="str">
        <f t="shared" si="95"/>
        <v>女</v>
      </c>
      <c r="F2328" s="8" t="str">
        <f>"1994-07-06"</f>
        <v>1994-07-06</v>
      </c>
      <c r="G2328" s="9"/>
    </row>
    <row r="2329" spans="1:7" ht="13.5">
      <c r="A2329" s="7">
        <v>2327</v>
      </c>
      <c r="B2329" s="8" t="str">
        <f>"234120200901151022763"</f>
        <v>234120200901151022763</v>
      </c>
      <c r="C2329" s="8" t="s">
        <v>11</v>
      </c>
      <c r="D2329" s="8" t="str">
        <f>"翁连敏"</f>
        <v>翁连敏</v>
      </c>
      <c r="E2329" s="8" t="str">
        <f>"男"</f>
        <v>男</v>
      </c>
      <c r="F2329" s="8" t="str">
        <f>"1990-09-11"</f>
        <v>1990-09-11</v>
      </c>
      <c r="G2329" s="9"/>
    </row>
    <row r="2330" spans="1:7" ht="13.5">
      <c r="A2330" s="7">
        <v>2328</v>
      </c>
      <c r="B2330" s="8" t="str">
        <f>"234120200901170739815"</f>
        <v>234120200901170739815</v>
      </c>
      <c r="C2330" s="8" t="s">
        <v>11</v>
      </c>
      <c r="D2330" s="8" t="str">
        <f>"陈芳兰"</f>
        <v>陈芳兰</v>
      </c>
      <c r="E2330" s="8" t="str">
        <f aca="true" t="shared" si="96" ref="E2330:E2338">"女"</f>
        <v>女</v>
      </c>
      <c r="F2330" s="8" t="str">
        <f>"1995-10-01"</f>
        <v>1995-10-01</v>
      </c>
      <c r="G2330" s="9"/>
    </row>
    <row r="2331" spans="1:7" ht="13.5">
      <c r="A2331" s="7">
        <v>2329</v>
      </c>
      <c r="B2331" s="8" t="str">
        <f>"234120200901171849820"</f>
        <v>234120200901171849820</v>
      </c>
      <c r="C2331" s="8" t="s">
        <v>11</v>
      </c>
      <c r="D2331" s="8" t="str">
        <f>"王清媚"</f>
        <v>王清媚</v>
      </c>
      <c r="E2331" s="8" t="str">
        <f t="shared" si="96"/>
        <v>女</v>
      </c>
      <c r="F2331" s="8" t="str">
        <f>"1998-06-30"</f>
        <v>1998-06-30</v>
      </c>
      <c r="G2331" s="9"/>
    </row>
    <row r="2332" spans="1:7" ht="13.5">
      <c r="A2332" s="7">
        <v>2330</v>
      </c>
      <c r="B2332" s="8" t="str">
        <f>"234120200901181923835"</f>
        <v>234120200901181923835</v>
      </c>
      <c r="C2332" s="8" t="s">
        <v>11</v>
      </c>
      <c r="D2332" s="8" t="str">
        <f>"陈丽帆"</f>
        <v>陈丽帆</v>
      </c>
      <c r="E2332" s="8" t="str">
        <f t="shared" si="96"/>
        <v>女</v>
      </c>
      <c r="F2332" s="8" t="str">
        <f>"1997-04-12"</f>
        <v>1997-04-12</v>
      </c>
      <c r="G2332" s="9"/>
    </row>
    <row r="2333" spans="1:7" ht="13.5">
      <c r="A2333" s="7">
        <v>2331</v>
      </c>
      <c r="B2333" s="8" t="str">
        <f>"234120200901183008837"</f>
        <v>234120200901183008837</v>
      </c>
      <c r="C2333" s="8" t="s">
        <v>11</v>
      </c>
      <c r="D2333" s="8" t="str">
        <f>"王嘉艳"</f>
        <v>王嘉艳</v>
      </c>
      <c r="E2333" s="8" t="str">
        <f t="shared" si="96"/>
        <v>女</v>
      </c>
      <c r="F2333" s="8" t="str">
        <f>"1995-12-27"</f>
        <v>1995-12-27</v>
      </c>
      <c r="G2333" s="9"/>
    </row>
    <row r="2334" spans="1:7" ht="13.5">
      <c r="A2334" s="7">
        <v>2332</v>
      </c>
      <c r="B2334" s="8" t="str">
        <f>"234120200901202824871"</f>
        <v>234120200901202824871</v>
      </c>
      <c r="C2334" s="8" t="s">
        <v>11</v>
      </c>
      <c r="D2334" s="8" t="str">
        <f>"吴慧敏"</f>
        <v>吴慧敏</v>
      </c>
      <c r="E2334" s="8" t="str">
        <f t="shared" si="96"/>
        <v>女</v>
      </c>
      <c r="F2334" s="8" t="str">
        <f>"1997-02-18"</f>
        <v>1997-02-18</v>
      </c>
      <c r="G2334" s="9"/>
    </row>
    <row r="2335" spans="1:7" ht="13.5">
      <c r="A2335" s="7">
        <v>2333</v>
      </c>
      <c r="B2335" s="8" t="str">
        <f>"234120200901215059900"</f>
        <v>234120200901215059900</v>
      </c>
      <c r="C2335" s="8" t="s">
        <v>11</v>
      </c>
      <c r="D2335" s="8" t="str">
        <f>"陈美霖"</f>
        <v>陈美霖</v>
      </c>
      <c r="E2335" s="8" t="str">
        <f t="shared" si="96"/>
        <v>女</v>
      </c>
      <c r="F2335" s="8" t="str">
        <f>"1997-08-30"</f>
        <v>1997-08-30</v>
      </c>
      <c r="G2335" s="9"/>
    </row>
    <row r="2336" spans="1:7" ht="13.5">
      <c r="A2336" s="7">
        <v>2334</v>
      </c>
      <c r="B2336" s="8" t="str">
        <f>"234120200901222240914"</f>
        <v>234120200901222240914</v>
      </c>
      <c r="C2336" s="8" t="s">
        <v>11</v>
      </c>
      <c r="D2336" s="8" t="str">
        <f>"张火兰"</f>
        <v>张火兰</v>
      </c>
      <c r="E2336" s="8" t="str">
        <f t="shared" si="96"/>
        <v>女</v>
      </c>
      <c r="F2336" s="8" t="str">
        <f>"1992-02-17"</f>
        <v>1992-02-17</v>
      </c>
      <c r="G2336" s="9"/>
    </row>
    <row r="2337" spans="1:7" ht="13.5">
      <c r="A2337" s="7">
        <v>2335</v>
      </c>
      <c r="B2337" s="8" t="str">
        <f>"234120200902095748969"</f>
        <v>234120200902095748969</v>
      </c>
      <c r="C2337" s="8" t="s">
        <v>11</v>
      </c>
      <c r="D2337" s="8" t="str">
        <f>"符乃娟"</f>
        <v>符乃娟</v>
      </c>
      <c r="E2337" s="8" t="str">
        <f t="shared" si="96"/>
        <v>女</v>
      </c>
      <c r="F2337" s="8" t="str">
        <f>"1992-09-18"</f>
        <v>1992-09-18</v>
      </c>
      <c r="G2337" s="9"/>
    </row>
    <row r="2338" spans="1:7" ht="13.5">
      <c r="A2338" s="7">
        <v>2336</v>
      </c>
      <c r="B2338" s="8" t="str">
        <f>"234120200902102050979"</f>
        <v>234120200902102050979</v>
      </c>
      <c r="C2338" s="8" t="s">
        <v>11</v>
      </c>
      <c r="D2338" s="8" t="str">
        <f>"林家芬"</f>
        <v>林家芬</v>
      </c>
      <c r="E2338" s="8" t="str">
        <f t="shared" si="96"/>
        <v>女</v>
      </c>
      <c r="F2338" s="8" t="str">
        <f>"1988-03-14"</f>
        <v>1988-03-14</v>
      </c>
      <c r="G2338" s="9"/>
    </row>
    <row r="2339" spans="1:7" ht="13.5">
      <c r="A2339" s="7">
        <v>2337</v>
      </c>
      <c r="B2339" s="8" t="str">
        <f>"234120200902105442992"</f>
        <v>234120200902105442992</v>
      </c>
      <c r="C2339" s="8" t="s">
        <v>11</v>
      </c>
      <c r="D2339" s="8" t="str">
        <f>"李可可"</f>
        <v>李可可</v>
      </c>
      <c r="E2339" s="8" t="str">
        <f>"男"</f>
        <v>男</v>
      </c>
      <c r="F2339" s="8" t="str">
        <f>"1998-11-11"</f>
        <v>1998-11-11</v>
      </c>
      <c r="G2339" s="9"/>
    </row>
    <row r="2340" spans="1:7" ht="13.5">
      <c r="A2340" s="7">
        <v>2338</v>
      </c>
      <c r="B2340" s="8" t="str">
        <f>"2341202009021226261014"</f>
        <v>2341202009021226261014</v>
      </c>
      <c r="C2340" s="8" t="s">
        <v>11</v>
      </c>
      <c r="D2340" s="8" t="str">
        <f>"杨小清"</f>
        <v>杨小清</v>
      </c>
      <c r="E2340" s="8" t="str">
        <f>"女"</f>
        <v>女</v>
      </c>
      <c r="F2340" s="8" t="str">
        <f>"1987-04-18"</f>
        <v>1987-04-18</v>
      </c>
      <c r="G2340" s="9"/>
    </row>
    <row r="2341" spans="1:7" ht="13.5">
      <c r="A2341" s="7">
        <v>2339</v>
      </c>
      <c r="B2341" s="8" t="str">
        <f>"2341202009021255041023"</f>
        <v>2341202009021255041023</v>
      </c>
      <c r="C2341" s="8" t="s">
        <v>11</v>
      </c>
      <c r="D2341" s="8" t="str">
        <f>"刘巧仙"</f>
        <v>刘巧仙</v>
      </c>
      <c r="E2341" s="8" t="str">
        <f>"女"</f>
        <v>女</v>
      </c>
      <c r="F2341" s="8" t="str">
        <f>"1996-04-21"</f>
        <v>1996-04-21</v>
      </c>
      <c r="G2341" s="9"/>
    </row>
    <row r="2342" spans="1:7" ht="13.5">
      <c r="A2342" s="7">
        <v>2340</v>
      </c>
      <c r="B2342" s="8" t="str">
        <f>"2341202009021300451026"</f>
        <v>2341202009021300451026</v>
      </c>
      <c r="C2342" s="8" t="s">
        <v>11</v>
      </c>
      <c r="D2342" s="8" t="str">
        <f>"黄炳杰"</f>
        <v>黄炳杰</v>
      </c>
      <c r="E2342" s="8" t="str">
        <f>"男"</f>
        <v>男</v>
      </c>
      <c r="F2342" s="8" t="str">
        <f>"1995-07-24"</f>
        <v>1995-07-24</v>
      </c>
      <c r="G2342" s="9"/>
    </row>
    <row r="2343" spans="1:7" ht="13.5">
      <c r="A2343" s="7">
        <v>2341</v>
      </c>
      <c r="B2343" s="8" t="str">
        <f>"2341202009021533241054"</f>
        <v>2341202009021533241054</v>
      </c>
      <c r="C2343" s="8" t="s">
        <v>11</v>
      </c>
      <c r="D2343" s="8" t="str">
        <f>"李海萍"</f>
        <v>李海萍</v>
      </c>
      <c r="E2343" s="8" t="str">
        <f aca="true" t="shared" si="97" ref="E2343:E2349">"女"</f>
        <v>女</v>
      </c>
      <c r="F2343" s="8" t="str">
        <f>"1993-07-19"</f>
        <v>1993-07-19</v>
      </c>
      <c r="G2343" s="9"/>
    </row>
    <row r="2344" spans="1:7" ht="13.5">
      <c r="A2344" s="7">
        <v>2342</v>
      </c>
      <c r="B2344" s="8" t="str">
        <f>"2341202009021659401078"</f>
        <v>2341202009021659401078</v>
      </c>
      <c r="C2344" s="8" t="s">
        <v>11</v>
      </c>
      <c r="D2344" s="8" t="str">
        <f>"杨瑞秀"</f>
        <v>杨瑞秀</v>
      </c>
      <c r="E2344" s="8" t="str">
        <f t="shared" si="97"/>
        <v>女</v>
      </c>
      <c r="F2344" s="8" t="str">
        <f>"1991-02-08"</f>
        <v>1991-02-08</v>
      </c>
      <c r="G2344" s="9"/>
    </row>
    <row r="2345" spans="1:7" ht="13.5">
      <c r="A2345" s="7">
        <v>2343</v>
      </c>
      <c r="B2345" s="8" t="str">
        <f>"2341202009021716001085"</f>
        <v>2341202009021716001085</v>
      </c>
      <c r="C2345" s="8" t="s">
        <v>11</v>
      </c>
      <c r="D2345" s="8" t="str">
        <f>"吴多嫩"</f>
        <v>吴多嫩</v>
      </c>
      <c r="E2345" s="8" t="str">
        <f t="shared" si="97"/>
        <v>女</v>
      </c>
      <c r="F2345" s="8" t="str">
        <f>"1995-02-01"</f>
        <v>1995-02-01</v>
      </c>
      <c r="G2345" s="9"/>
    </row>
    <row r="2346" spans="1:7" ht="13.5">
      <c r="A2346" s="7">
        <v>2344</v>
      </c>
      <c r="B2346" s="8" t="str">
        <f>"2341202009022015401125"</f>
        <v>2341202009022015401125</v>
      </c>
      <c r="C2346" s="8" t="s">
        <v>11</v>
      </c>
      <c r="D2346" s="8" t="str">
        <f>"吴淑钰"</f>
        <v>吴淑钰</v>
      </c>
      <c r="E2346" s="8" t="str">
        <f t="shared" si="97"/>
        <v>女</v>
      </c>
      <c r="F2346" s="8" t="str">
        <f>"1996-10-10"</f>
        <v>1996-10-10</v>
      </c>
      <c r="G2346" s="9"/>
    </row>
    <row r="2347" spans="1:7" ht="13.5">
      <c r="A2347" s="7">
        <v>2345</v>
      </c>
      <c r="B2347" s="8" t="str">
        <f>"2341202009022047561135"</f>
        <v>2341202009022047561135</v>
      </c>
      <c r="C2347" s="8" t="s">
        <v>11</v>
      </c>
      <c r="D2347" s="8" t="str">
        <f>"周会惠"</f>
        <v>周会惠</v>
      </c>
      <c r="E2347" s="8" t="str">
        <f t="shared" si="97"/>
        <v>女</v>
      </c>
      <c r="F2347" s="8" t="str">
        <f>"1997-08-05"</f>
        <v>1997-08-05</v>
      </c>
      <c r="G2347" s="9"/>
    </row>
    <row r="2348" spans="1:7" ht="13.5">
      <c r="A2348" s="7">
        <v>2346</v>
      </c>
      <c r="B2348" s="8" t="str">
        <f>"2341202009022207001159"</f>
        <v>2341202009022207001159</v>
      </c>
      <c r="C2348" s="8" t="s">
        <v>11</v>
      </c>
      <c r="D2348" s="8" t="str">
        <f>"余丽芳"</f>
        <v>余丽芳</v>
      </c>
      <c r="E2348" s="8" t="str">
        <f t="shared" si="97"/>
        <v>女</v>
      </c>
      <c r="F2348" s="8" t="str">
        <f>"1996-05-20"</f>
        <v>1996-05-20</v>
      </c>
      <c r="G2348" s="9"/>
    </row>
    <row r="2349" spans="1:7" ht="13.5">
      <c r="A2349" s="7">
        <v>2347</v>
      </c>
      <c r="B2349" s="8" t="str">
        <f>"2341202009022345031184"</f>
        <v>2341202009022345031184</v>
      </c>
      <c r="C2349" s="8" t="s">
        <v>11</v>
      </c>
      <c r="D2349" s="8" t="str">
        <f>"朱照伟"</f>
        <v>朱照伟</v>
      </c>
      <c r="E2349" s="8" t="str">
        <f t="shared" si="97"/>
        <v>女</v>
      </c>
      <c r="F2349" s="8" t="str">
        <f>"1992-10-02"</f>
        <v>1992-10-02</v>
      </c>
      <c r="G2349" s="9"/>
    </row>
    <row r="2350" spans="1:7" ht="13.5">
      <c r="A2350" s="7">
        <v>2348</v>
      </c>
      <c r="B2350" s="8" t="str">
        <f>"2341202009031016161222"</f>
        <v>2341202009031016161222</v>
      </c>
      <c r="C2350" s="8" t="s">
        <v>11</v>
      </c>
      <c r="D2350" s="8" t="str">
        <f>"何艺东"</f>
        <v>何艺东</v>
      </c>
      <c r="E2350" s="8" t="str">
        <f>"男"</f>
        <v>男</v>
      </c>
      <c r="F2350" s="8" t="str">
        <f>"1995-02-21"</f>
        <v>1995-02-21</v>
      </c>
      <c r="G2350" s="9"/>
    </row>
    <row r="2351" spans="1:7" ht="13.5">
      <c r="A2351" s="7">
        <v>2349</v>
      </c>
      <c r="B2351" s="8" t="str">
        <f>"2341202009031658121326"</f>
        <v>2341202009031658121326</v>
      </c>
      <c r="C2351" s="8" t="s">
        <v>11</v>
      </c>
      <c r="D2351" s="8" t="str">
        <f>"陈核"</f>
        <v>陈核</v>
      </c>
      <c r="E2351" s="8" t="str">
        <f aca="true" t="shared" si="98" ref="E2351:E2360">"女"</f>
        <v>女</v>
      </c>
      <c r="F2351" s="8" t="str">
        <f>"1994-03-07"</f>
        <v>1994-03-07</v>
      </c>
      <c r="G2351" s="9"/>
    </row>
    <row r="2352" spans="1:7" ht="13.5">
      <c r="A2352" s="7">
        <v>2350</v>
      </c>
      <c r="B2352" s="8" t="str">
        <f>"2341202009031810411350"</f>
        <v>2341202009031810411350</v>
      </c>
      <c r="C2352" s="8" t="s">
        <v>11</v>
      </c>
      <c r="D2352" s="8" t="str">
        <f>"林明兰"</f>
        <v>林明兰</v>
      </c>
      <c r="E2352" s="8" t="str">
        <f t="shared" si="98"/>
        <v>女</v>
      </c>
      <c r="F2352" s="8" t="str">
        <f>"1993-11-05"</f>
        <v>1993-11-05</v>
      </c>
      <c r="G2352" s="9"/>
    </row>
    <row r="2353" spans="1:7" ht="13.5">
      <c r="A2353" s="7">
        <v>2351</v>
      </c>
      <c r="B2353" s="8" t="str">
        <f>"2341202009032349481430"</f>
        <v>2341202009032349481430</v>
      </c>
      <c r="C2353" s="8" t="s">
        <v>11</v>
      </c>
      <c r="D2353" s="8" t="str">
        <f>"李燕娣"</f>
        <v>李燕娣</v>
      </c>
      <c r="E2353" s="8" t="str">
        <f t="shared" si="98"/>
        <v>女</v>
      </c>
      <c r="F2353" s="8" t="str">
        <f>"1996-06-20"</f>
        <v>1996-06-20</v>
      </c>
      <c r="G2353" s="9"/>
    </row>
    <row r="2354" spans="1:7" ht="13.5">
      <c r="A2354" s="7">
        <v>2352</v>
      </c>
      <c r="B2354" s="8" t="str">
        <f>"2341202009040817141438"</f>
        <v>2341202009040817141438</v>
      </c>
      <c r="C2354" s="8" t="s">
        <v>11</v>
      </c>
      <c r="D2354" s="8" t="str">
        <f>"倪德霞"</f>
        <v>倪德霞</v>
      </c>
      <c r="E2354" s="8" t="str">
        <f t="shared" si="98"/>
        <v>女</v>
      </c>
      <c r="F2354" s="8" t="str">
        <f>"1992-04-16"</f>
        <v>1992-04-16</v>
      </c>
      <c r="G2354" s="9"/>
    </row>
    <row r="2355" spans="1:7" ht="13.5">
      <c r="A2355" s="7">
        <v>2353</v>
      </c>
      <c r="B2355" s="8" t="str">
        <f>"2341202009041006251452"</f>
        <v>2341202009041006251452</v>
      </c>
      <c r="C2355" s="8" t="s">
        <v>11</v>
      </c>
      <c r="D2355" s="8" t="str">
        <f>"周爱军"</f>
        <v>周爱军</v>
      </c>
      <c r="E2355" s="8" t="str">
        <f t="shared" si="98"/>
        <v>女</v>
      </c>
      <c r="F2355" s="8" t="str">
        <f>"1996-07-24"</f>
        <v>1996-07-24</v>
      </c>
      <c r="G2355" s="9"/>
    </row>
    <row r="2356" spans="1:7" ht="13.5">
      <c r="A2356" s="7">
        <v>2354</v>
      </c>
      <c r="B2356" s="8" t="str">
        <f>"2341202009041330391496"</f>
        <v>2341202009041330391496</v>
      </c>
      <c r="C2356" s="8" t="s">
        <v>11</v>
      </c>
      <c r="D2356" s="8" t="str">
        <f>"王娇妹"</f>
        <v>王娇妹</v>
      </c>
      <c r="E2356" s="8" t="str">
        <f t="shared" si="98"/>
        <v>女</v>
      </c>
      <c r="F2356" s="8" t="str">
        <f>"1994-10-15"</f>
        <v>1994-10-15</v>
      </c>
      <c r="G2356" s="9"/>
    </row>
    <row r="2357" spans="1:7" ht="13.5">
      <c r="A2357" s="7">
        <v>2355</v>
      </c>
      <c r="B2357" s="8" t="str">
        <f>"2341202009041445551504"</f>
        <v>2341202009041445551504</v>
      </c>
      <c r="C2357" s="8" t="s">
        <v>11</v>
      </c>
      <c r="D2357" s="8" t="str">
        <f>"吴昀燕"</f>
        <v>吴昀燕</v>
      </c>
      <c r="E2357" s="8" t="str">
        <f t="shared" si="98"/>
        <v>女</v>
      </c>
      <c r="F2357" s="8" t="str">
        <f>"1998-03-09"</f>
        <v>1998-03-09</v>
      </c>
      <c r="G2357" s="9"/>
    </row>
    <row r="2358" spans="1:7" ht="13.5">
      <c r="A2358" s="7">
        <v>2356</v>
      </c>
      <c r="B2358" s="8" t="str">
        <f>"2341202009041748391545"</f>
        <v>2341202009041748391545</v>
      </c>
      <c r="C2358" s="8" t="s">
        <v>11</v>
      </c>
      <c r="D2358" s="8" t="str">
        <f>"林海宁"</f>
        <v>林海宁</v>
      </c>
      <c r="E2358" s="8" t="str">
        <f t="shared" si="98"/>
        <v>女</v>
      </c>
      <c r="F2358" s="8" t="str">
        <f>"1992-10-08"</f>
        <v>1992-10-08</v>
      </c>
      <c r="G2358" s="9"/>
    </row>
    <row r="2359" spans="1:7" ht="13.5">
      <c r="A2359" s="7">
        <v>2357</v>
      </c>
      <c r="B2359" s="8" t="str">
        <f>"2341202009042114141578"</f>
        <v>2341202009042114141578</v>
      </c>
      <c r="C2359" s="8" t="s">
        <v>11</v>
      </c>
      <c r="D2359" s="8" t="str">
        <f>"温曼瑜"</f>
        <v>温曼瑜</v>
      </c>
      <c r="E2359" s="8" t="str">
        <f t="shared" si="98"/>
        <v>女</v>
      </c>
      <c r="F2359" s="8" t="str">
        <f>"1997-09-16"</f>
        <v>1997-09-16</v>
      </c>
      <c r="G2359" s="9"/>
    </row>
    <row r="2360" spans="1:7" ht="13.5">
      <c r="A2360" s="7">
        <v>2358</v>
      </c>
      <c r="B2360" s="8" t="str">
        <f>"2341202009051018381625"</f>
        <v>2341202009051018381625</v>
      </c>
      <c r="C2360" s="8" t="s">
        <v>11</v>
      </c>
      <c r="D2360" s="8" t="str">
        <f>"符翠庆"</f>
        <v>符翠庆</v>
      </c>
      <c r="E2360" s="8" t="str">
        <f t="shared" si="98"/>
        <v>女</v>
      </c>
      <c r="F2360" s="8" t="str">
        <f>"1997-07-09"</f>
        <v>1997-07-09</v>
      </c>
      <c r="G2360" s="9"/>
    </row>
    <row r="2361" spans="1:7" ht="13.5">
      <c r="A2361" s="7">
        <v>2359</v>
      </c>
      <c r="B2361" s="8" t="str">
        <f>"2341202009051455231666"</f>
        <v>2341202009051455231666</v>
      </c>
      <c r="C2361" s="8" t="s">
        <v>11</v>
      </c>
      <c r="D2361" s="8" t="str">
        <f>"邱旭"</f>
        <v>邱旭</v>
      </c>
      <c r="E2361" s="8" t="str">
        <f>"男"</f>
        <v>男</v>
      </c>
      <c r="F2361" s="8" t="str">
        <f>"1995-10-06"</f>
        <v>1995-10-06</v>
      </c>
      <c r="G2361" s="9"/>
    </row>
    <row r="2362" spans="1:7" ht="13.5">
      <c r="A2362" s="7">
        <v>2360</v>
      </c>
      <c r="B2362" s="8" t="str">
        <f>"2341202009051658181690"</f>
        <v>2341202009051658181690</v>
      </c>
      <c r="C2362" s="8" t="s">
        <v>11</v>
      </c>
      <c r="D2362" s="8" t="str">
        <f>"张柯远"</f>
        <v>张柯远</v>
      </c>
      <c r="E2362" s="8" t="str">
        <f>"女"</f>
        <v>女</v>
      </c>
      <c r="F2362" s="8" t="str">
        <f>"1993-02-13"</f>
        <v>1993-02-13</v>
      </c>
      <c r="G2362" s="9"/>
    </row>
    <row r="2363" spans="1:7" ht="13.5">
      <c r="A2363" s="7">
        <v>2361</v>
      </c>
      <c r="B2363" s="8" t="str">
        <f>"2341202009052200571734"</f>
        <v>2341202009052200571734</v>
      </c>
      <c r="C2363" s="8" t="s">
        <v>11</v>
      </c>
      <c r="D2363" s="8" t="str">
        <f>"高国林"</f>
        <v>高国林</v>
      </c>
      <c r="E2363" s="8" t="str">
        <f>"男"</f>
        <v>男</v>
      </c>
      <c r="F2363" s="8" t="str">
        <f>"1985-10-08"</f>
        <v>1985-10-08</v>
      </c>
      <c r="G2363" s="9"/>
    </row>
    <row r="2364" spans="1:7" ht="13.5">
      <c r="A2364" s="7">
        <v>2362</v>
      </c>
      <c r="B2364" s="8" t="str">
        <f>"2341202009061048421772"</f>
        <v>2341202009061048421772</v>
      </c>
      <c r="C2364" s="8" t="s">
        <v>11</v>
      </c>
      <c r="D2364" s="8" t="str">
        <f>"周曼"</f>
        <v>周曼</v>
      </c>
      <c r="E2364" s="8" t="str">
        <f aca="true" t="shared" si="99" ref="E2364:E2372">"女"</f>
        <v>女</v>
      </c>
      <c r="F2364" s="8" t="str">
        <f>"1996-05-04"</f>
        <v>1996-05-04</v>
      </c>
      <c r="G2364" s="9"/>
    </row>
    <row r="2365" spans="1:7" ht="13.5">
      <c r="A2365" s="7">
        <v>2363</v>
      </c>
      <c r="B2365" s="8" t="str">
        <f>"2341202009062157581858"</f>
        <v>2341202009062157581858</v>
      </c>
      <c r="C2365" s="8" t="s">
        <v>11</v>
      </c>
      <c r="D2365" s="8" t="str">
        <f>"张淑娴"</f>
        <v>张淑娴</v>
      </c>
      <c r="E2365" s="8" t="str">
        <f t="shared" si="99"/>
        <v>女</v>
      </c>
      <c r="F2365" s="8" t="str">
        <f>"1990-03-03"</f>
        <v>1990-03-03</v>
      </c>
      <c r="G2365" s="9"/>
    </row>
    <row r="2366" spans="1:7" ht="13.5">
      <c r="A2366" s="7">
        <v>2364</v>
      </c>
      <c r="B2366" s="8" t="str">
        <f>"2341202009071043351910"</f>
        <v>2341202009071043351910</v>
      </c>
      <c r="C2366" s="8" t="s">
        <v>11</v>
      </c>
      <c r="D2366" s="8" t="str">
        <f>"童守翠"</f>
        <v>童守翠</v>
      </c>
      <c r="E2366" s="8" t="str">
        <f t="shared" si="99"/>
        <v>女</v>
      </c>
      <c r="F2366" s="8" t="str">
        <f>"1997-05-07"</f>
        <v>1997-05-07</v>
      </c>
      <c r="G2366" s="9"/>
    </row>
    <row r="2367" spans="1:7" ht="13.5">
      <c r="A2367" s="7">
        <v>2365</v>
      </c>
      <c r="B2367" s="8" t="str">
        <f>"2341202009071119181918"</f>
        <v>2341202009071119181918</v>
      </c>
      <c r="C2367" s="8" t="s">
        <v>11</v>
      </c>
      <c r="D2367" s="8" t="str">
        <f>"曾媛"</f>
        <v>曾媛</v>
      </c>
      <c r="E2367" s="8" t="str">
        <f t="shared" si="99"/>
        <v>女</v>
      </c>
      <c r="F2367" s="8" t="str">
        <f>"1995-10-16"</f>
        <v>1995-10-16</v>
      </c>
      <c r="G2367" s="9"/>
    </row>
    <row r="2368" spans="1:7" ht="13.5">
      <c r="A2368" s="7">
        <v>2366</v>
      </c>
      <c r="B2368" s="8" t="str">
        <f>"2341202009071225541931"</f>
        <v>2341202009071225541931</v>
      </c>
      <c r="C2368" s="8" t="s">
        <v>11</v>
      </c>
      <c r="D2368" s="8" t="str">
        <f>"邓小雯"</f>
        <v>邓小雯</v>
      </c>
      <c r="E2368" s="8" t="str">
        <f t="shared" si="99"/>
        <v>女</v>
      </c>
      <c r="F2368" s="8" t="str">
        <f>"1993-10-25"</f>
        <v>1993-10-25</v>
      </c>
      <c r="G2368" s="9"/>
    </row>
    <row r="2369" spans="1:7" ht="13.5">
      <c r="A2369" s="7">
        <v>2367</v>
      </c>
      <c r="B2369" s="8" t="str">
        <f>"2341202009071535451961"</f>
        <v>2341202009071535451961</v>
      </c>
      <c r="C2369" s="8" t="s">
        <v>11</v>
      </c>
      <c r="D2369" s="8" t="str">
        <f>"林惠"</f>
        <v>林惠</v>
      </c>
      <c r="E2369" s="8" t="str">
        <f t="shared" si="99"/>
        <v>女</v>
      </c>
      <c r="F2369" s="8" t="str">
        <f>"1991-08-02"</f>
        <v>1991-08-02</v>
      </c>
      <c r="G2369" s="9"/>
    </row>
    <row r="2370" spans="1:7" ht="13.5">
      <c r="A2370" s="7">
        <v>2368</v>
      </c>
      <c r="B2370" s="8" t="str">
        <f>"2341202009071819591991"</f>
        <v>2341202009071819591991</v>
      </c>
      <c r="C2370" s="8" t="s">
        <v>11</v>
      </c>
      <c r="D2370" s="8" t="str">
        <f>"李皜真"</f>
        <v>李皜真</v>
      </c>
      <c r="E2370" s="8" t="str">
        <f t="shared" si="99"/>
        <v>女</v>
      </c>
      <c r="F2370" s="8" t="str">
        <f>"1995-01-20"</f>
        <v>1995-01-20</v>
      </c>
      <c r="G2370" s="9"/>
    </row>
    <row r="2371" spans="1:7" ht="13.5">
      <c r="A2371" s="7">
        <v>2369</v>
      </c>
      <c r="B2371" s="8" t="str">
        <f>"2341202009071832151994"</f>
        <v>2341202009071832151994</v>
      </c>
      <c r="C2371" s="8" t="s">
        <v>11</v>
      </c>
      <c r="D2371" s="8" t="str">
        <f>"王文清"</f>
        <v>王文清</v>
      </c>
      <c r="E2371" s="8" t="str">
        <f t="shared" si="99"/>
        <v>女</v>
      </c>
      <c r="F2371" s="8" t="str">
        <f>"1995-01-13"</f>
        <v>1995-01-13</v>
      </c>
      <c r="G2371" s="9"/>
    </row>
    <row r="2372" spans="1:7" ht="13.5">
      <c r="A2372" s="7">
        <v>2370</v>
      </c>
      <c r="B2372" s="8" t="str">
        <f>"2341202009082025402153"</f>
        <v>2341202009082025402153</v>
      </c>
      <c r="C2372" s="8" t="s">
        <v>11</v>
      </c>
      <c r="D2372" s="8" t="str">
        <f>"麦江"</f>
        <v>麦江</v>
      </c>
      <c r="E2372" s="8" t="str">
        <f t="shared" si="99"/>
        <v>女</v>
      </c>
      <c r="F2372" s="8" t="str">
        <f>"1987-07-06"</f>
        <v>1987-07-06</v>
      </c>
      <c r="G2372" s="9"/>
    </row>
    <row r="2373" spans="1:7" ht="13.5">
      <c r="A2373" s="7">
        <v>2371</v>
      </c>
      <c r="B2373" s="8" t="str">
        <f>"2341202009082148142174"</f>
        <v>2341202009082148142174</v>
      </c>
      <c r="C2373" s="8" t="s">
        <v>11</v>
      </c>
      <c r="D2373" s="8" t="str">
        <f>"潘祖龙"</f>
        <v>潘祖龙</v>
      </c>
      <c r="E2373" s="8" t="str">
        <f>"男"</f>
        <v>男</v>
      </c>
      <c r="F2373" s="8" t="str">
        <f>"1989-08-29"</f>
        <v>1989-08-29</v>
      </c>
      <c r="G2373" s="9"/>
    </row>
    <row r="2374" spans="1:7" ht="13.5">
      <c r="A2374" s="7">
        <v>2372</v>
      </c>
      <c r="B2374" s="8" t="str">
        <f>"2341202009090911292205"</f>
        <v>2341202009090911292205</v>
      </c>
      <c r="C2374" s="8" t="s">
        <v>11</v>
      </c>
      <c r="D2374" s="8" t="str">
        <f>"林杰"</f>
        <v>林杰</v>
      </c>
      <c r="E2374" s="8" t="str">
        <f>"男"</f>
        <v>男</v>
      </c>
      <c r="F2374" s="8" t="str">
        <f>"1986-08-15"</f>
        <v>1986-08-15</v>
      </c>
      <c r="G2374" s="9"/>
    </row>
    <row r="2375" spans="1:7" ht="13.5">
      <c r="A2375" s="7">
        <v>2373</v>
      </c>
      <c r="B2375" s="8" t="str">
        <f>"2341202009090941082213"</f>
        <v>2341202009090941082213</v>
      </c>
      <c r="C2375" s="8" t="s">
        <v>11</v>
      </c>
      <c r="D2375" s="8" t="str">
        <f>"陈艳"</f>
        <v>陈艳</v>
      </c>
      <c r="E2375" s="8" t="str">
        <f aca="true" t="shared" si="100" ref="E2375:E2382">"女"</f>
        <v>女</v>
      </c>
      <c r="F2375" s="8" t="str">
        <f>"1993-12-21"</f>
        <v>1993-12-21</v>
      </c>
      <c r="G2375" s="9"/>
    </row>
    <row r="2376" spans="1:7" ht="13.5">
      <c r="A2376" s="7">
        <v>2374</v>
      </c>
      <c r="B2376" s="8" t="str">
        <f>"2341202009091228512245"</f>
        <v>2341202009091228512245</v>
      </c>
      <c r="C2376" s="8" t="s">
        <v>11</v>
      </c>
      <c r="D2376" s="8" t="str">
        <f>"吴和洁"</f>
        <v>吴和洁</v>
      </c>
      <c r="E2376" s="8" t="str">
        <f t="shared" si="100"/>
        <v>女</v>
      </c>
      <c r="F2376" s="8" t="str">
        <f>"1995-09-20"</f>
        <v>1995-09-20</v>
      </c>
      <c r="G2376" s="9"/>
    </row>
    <row r="2377" spans="1:7" ht="13.5">
      <c r="A2377" s="7">
        <v>2375</v>
      </c>
      <c r="B2377" s="8" t="str">
        <f>"2341202009091732412288"</f>
        <v>2341202009091732412288</v>
      </c>
      <c r="C2377" s="8" t="s">
        <v>11</v>
      </c>
      <c r="D2377" s="8" t="str">
        <f>"陈慧"</f>
        <v>陈慧</v>
      </c>
      <c r="E2377" s="8" t="str">
        <f t="shared" si="100"/>
        <v>女</v>
      </c>
      <c r="F2377" s="8" t="str">
        <f>"1998-03-08"</f>
        <v>1998-03-08</v>
      </c>
      <c r="G2377" s="9"/>
    </row>
    <row r="2378" spans="1:7" ht="13.5">
      <c r="A2378" s="7">
        <v>2376</v>
      </c>
      <c r="B2378" s="8" t="str">
        <f>"2341202009101504232395"</f>
        <v>2341202009101504232395</v>
      </c>
      <c r="C2378" s="8" t="s">
        <v>11</v>
      </c>
      <c r="D2378" s="8" t="str">
        <f>"孙法飞"</f>
        <v>孙法飞</v>
      </c>
      <c r="E2378" s="8" t="str">
        <f t="shared" si="100"/>
        <v>女</v>
      </c>
      <c r="F2378" s="8" t="str">
        <f>"1987-10-08"</f>
        <v>1987-10-08</v>
      </c>
      <c r="G2378" s="9"/>
    </row>
    <row r="2379" spans="1:7" ht="13.5">
      <c r="A2379" s="7">
        <v>2377</v>
      </c>
      <c r="B2379" s="8" t="str">
        <f>"2341202009102216502454"</f>
        <v>2341202009102216502454</v>
      </c>
      <c r="C2379" s="8" t="s">
        <v>11</v>
      </c>
      <c r="D2379" s="8" t="str">
        <f>"黄朝誉"</f>
        <v>黄朝誉</v>
      </c>
      <c r="E2379" s="8" t="str">
        <f t="shared" si="100"/>
        <v>女</v>
      </c>
      <c r="F2379" s="8" t="str">
        <f>"1994-01-23"</f>
        <v>1994-01-23</v>
      </c>
      <c r="G2379" s="9"/>
    </row>
    <row r="2380" spans="1:7" ht="13.5">
      <c r="A2380" s="7">
        <v>2378</v>
      </c>
      <c r="B2380" s="8" t="str">
        <f>"2341202009102252112461"</f>
        <v>2341202009102252112461</v>
      </c>
      <c r="C2380" s="8" t="s">
        <v>11</v>
      </c>
      <c r="D2380" s="8" t="str">
        <f>"黄虹丽"</f>
        <v>黄虹丽</v>
      </c>
      <c r="E2380" s="8" t="str">
        <f t="shared" si="100"/>
        <v>女</v>
      </c>
      <c r="F2380" s="8" t="str">
        <f>"1996-01-02"</f>
        <v>1996-01-02</v>
      </c>
      <c r="G2380" s="9"/>
    </row>
    <row r="2381" spans="1:7" ht="13.5">
      <c r="A2381" s="7">
        <v>2379</v>
      </c>
      <c r="B2381" s="8" t="str">
        <f>"2341202009110921312481"</f>
        <v>2341202009110921312481</v>
      </c>
      <c r="C2381" s="8" t="s">
        <v>11</v>
      </c>
      <c r="D2381" s="8" t="str">
        <f>"陈菊"</f>
        <v>陈菊</v>
      </c>
      <c r="E2381" s="8" t="str">
        <f t="shared" si="100"/>
        <v>女</v>
      </c>
      <c r="F2381" s="8" t="str">
        <f>"1985-12-13"</f>
        <v>1985-12-13</v>
      </c>
      <c r="G2381" s="9"/>
    </row>
    <row r="2382" spans="1:7" ht="13.5">
      <c r="A2382" s="7">
        <v>2380</v>
      </c>
      <c r="B2382" s="8" t="str">
        <f>"2341202009110939182485"</f>
        <v>2341202009110939182485</v>
      </c>
      <c r="C2382" s="8" t="s">
        <v>11</v>
      </c>
      <c r="D2382" s="8" t="str">
        <f>"何丽丁"</f>
        <v>何丽丁</v>
      </c>
      <c r="E2382" s="8" t="str">
        <f t="shared" si="100"/>
        <v>女</v>
      </c>
      <c r="F2382" s="8" t="str">
        <f>"1992-09-15"</f>
        <v>1992-09-15</v>
      </c>
      <c r="G2382" s="9"/>
    </row>
    <row r="2383" spans="1:7" ht="13.5">
      <c r="A2383" s="7">
        <v>2381</v>
      </c>
      <c r="B2383" s="8" t="str">
        <f>"2341202009111144462511"</f>
        <v>2341202009111144462511</v>
      </c>
      <c r="C2383" s="8" t="s">
        <v>11</v>
      </c>
      <c r="D2383" s="8" t="str">
        <f>"陈盛"</f>
        <v>陈盛</v>
      </c>
      <c r="E2383" s="8" t="str">
        <f>"男"</f>
        <v>男</v>
      </c>
      <c r="F2383" s="8" t="str">
        <f>"1997-09-06"</f>
        <v>1997-09-06</v>
      </c>
      <c r="G2383" s="9"/>
    </row>
    <row r="2384" spans="1:7" ht="13.5">
      <c r="A2384" s="7">
        <v>2382</v>
      </c>
      <c r="B2384" s="8" t="str">
        <f>"2341202009111328452523"</f>
        <v>2341202009111328452523</v>
      </c>
      <c r="C2384" s="8" t="s">
        <v>11</v>
      </c>
      <c r="D2384" s="8" t="str">
        <f>"李诗莹"</f>
        <v>李诗莹</v>
      </c>
      <c r="E2384" s="8" t="str">
        <f>"女"</f>
        <v>女</v>
      </c>
      <c r="F2384" s="8" t="str">
        <f>"1996-12-24"</f>
        <v>1996-12-24</v>
      </c>
      <c r="G2384" s="9"/>
    </row>
    <row r="2385" spans="1:7" ht="13.5">
      <c r="A2385" s="7">
        <v>2383</v>
      </c>
      <c r="B2385" s="8" t="str">
        <f>"2341202009111634502556"</f>
        <v>2341202009111634502556</v>
      </c>
      <c r="C2385" s="8" t="s">
        <v>11</v>
      </c>
      <c r="D2385" s="8" t="str">
        <f>"邓筠宜"</f>
        <v>邓筠宜</v>
      </c>
      <c r="E2385" s="8" t="str">
        <f>"女"</f>
        <v>女</v>
      </c>
      <c r="F2385" s="8" t="str">
        <f>"1997-05-11"</f>
        <v>1997-05-11</v>
      </c>
      <c r="G2385" s="9"/>
    </row>
    <row r="2386" spans="1:7" ht="13.5">
      <c r="A2386" s="7">
        <v>2384</v>
      </c>
      <c r="B2386" s="8" t="str">
        <f>"2341202009112338582615"</f>
        <v>2341202009112338582615</v>
      </c>
      <c r="C2386" s="8" t="s">
        <v>11</v>
      </c>
      <c r="D2386" s="8" t="str">
        <f>"谢少英"</f>
        <v>谢少英</v>
      </c>
      <c r="E2386" s="8" t="str">
        <f>"女"</f>
        <v>女</v>
      </c>
      <c r="F2386" s="8" t="str">
        <f>"1991-01-02"</f>
        <v>1991-01-02</v>
      </c>
      <c r="G2386" s="9"/>
    </row>
    <row r="2387" spans="1:7" ht="13.5">
      <c r="A2387" s="7">
        <v>2385</v>
      </c>
      <c r="B2387" s="8" t="str">
        <f>"2341202009120817472622"</f>
        <v>2341202009120817472622</v>
      </c>
      <c r="C2387" s="8" t="s">
        <v>11</v>
      </c>
      <c r="D2387" s="8" t="str">
        <f>"王韩雪"</f>
        <v>王韩雪</v>
      </c>
      <c r="E2387" s="8" t="str">
        <f>"女"</f>
        <v>女</v>
      </c>
      <c r="F2387" s="8" t="str">
        <f>"1994-11-09"</f>
        <v>1994-11-09</v>
      </c>
      <c r="G2387" s="9"/>
    </row>
    <row r="2388" spans="1:7" ht="13.5">
      <c r="A2388" s="7">
        <v>2386</v>
      </c>
      <c r="B2388" s="8" t="str">
        <f>"2341202009121636372700"</f>
        <v>2341202009121636372700</v>
      </c>
      <c r="C2388" s="8" t="s">
        <v>11</v>
      </c>
      <c r="D2388" s="8" t="str">
        <f>"符畅"</f>
        <v>符畅</v>
      </c>
      <c r="E2388" s="8" t="str">
        <f>"女"</f>
        <v>女</v>
      </c>
      <c r="F2388" s="8" t="str">
        <f>"1998-04-08"</f>
        <v>1998-04-08</v>
      </c>
      <c r="G2388" s="9"/>
    </row>
    <row r="2389" spans="1:7" ht="13.5">
      <c r="A2389" s="7">
        <v>2387</v>
      </c>
      <c r="B2389" s="8" t="str">
        <f>"2341202009132242222966"</f>
        <v>2341202009132242222966</v>
      </c>
      <c r="C2389" s="8" t="s">
        <v>11</v>
      </c>
      <c r="D2389" s="8" t="str">
        <f>"黎灵晶"</f>
        <v>黎灵晶</v>
      </c>
      <c r="E2389" s="8" t="str">
        <f>"男"</f>
        <v>男</v>
      </c>
      <c r="F2389" s="8" t="str">
        <f>"1985-02-12"</f>
        <v>1985-02-12</v>
      </c>
      <c r="G2389" s="9"/>
    </row>
    <row r="2390" spans="1:7" ht="13.5">
      <c r="A2390" s="7">
        <v>2388</v>
      </c>
      <c r="B2390" s="8" t="str">
        <f>"2341202009140815443013"</f>
        <v>2341202009140815443013</v>
      </c>
      <c r="C2390" s="8" t="s">
        <v>11</v>
      </c>
      <c r="D2390" s="8" t="str">
        <f>"王锡慧"</f>
        <v>王锡慧</v>
      </c>
      <c r="E2390" s="8" t="str">
        <f>"女"</f>
        <v>女</v>
      </c>
      <c r="F2390" s="8" t="str">
        <f>"1992-08-20"</f>
        <v>1992-08-20</v>
      </c>
      <c r="G2390" s="9"/>
    </row>
    <row r="2391" spans="1:7" ht="13.5">
      <c r="A2391" s="7">
        <v>2389</v>
      </c>
      <c r="B2391" s="8" t="str">
        <f>"2341202009141144553089"</f>
        <v>2341202009141144553089</v>
      </c>
      <c r="C2391" s="8" t="s">
        <v>11</v>
      </c>
      <c r="D2391" s="8" t="str">
        <f>"卓英书"</f>
        <v>卓英书</v>
      </c>
      <c r="E2391" s="8" t="str">
        <f>"男"</f>
        <v>男</v>
      </c>
      <c r="F2391" s="8" t="str">
        <f>"1987-05-19"</f>
        <v>1987-05-19</v>
      </c>
      <c r="G2391" s="9"/>
    </row>
    <row r="2392" spans="1:7" ht="13.5">
      <c r="A2392" s="7">
        <v>2390</v>
      </c>
      <c r="B2392" s="8" t="str">
        <f>"2341202009141221243110"</f>
        <v>2341202009141221243110</v>
      </c>
      <c r="C2392" s="8" t="s">
        <v>11</v>
      </c>
      <c r="D2392" s="8" t="str">
        <f>"李瑶"</f>
        <v>李瑶</v>
      </c>
      <c r="E2392" s="8" t="str">
        <f aca="true" t="shared" si="101" ref="E2392:E2405">"女"</f>
        <v>女</v>
      </c>
      <c r="F2392" s="8" t="str">
        <f>"1993-04-20"</f>
        <v>1993-04-20</v>
      </c>
      <c r="G2392" s="9"/>
    </row>
    <row r="2393" spans="1:7" ht="13.5">
      <c r="A2393" s="7">
        <v>2391</v>
      </c>
      <c r="B2393" s="8" t="str">
        <f>"2341202009141505273202"</f>
        <v>2341202009141505273202</v>
      </c>
      <c r="C2393" s="8" t="s">
        <v>11</v>
      </c>
      <c r="D2393" s="8" t="str">
        <f>"李晓燕"</f>
        <v>李晓燕</v>
      </c>
      <c r="E2393" s="8" t="str">
        <f t="shared" si="101"/>
        <v>女</v>
      </c>
      <c r="F2393" s="8" t="str">
        <f>"1995-05-18"</f>
        <v>1995-05-18</v>
      </c>
      <c r="G2393" s="9"/>
    </row>
    <row r="2394" spans="1:7" ht="13.5">
      <c r="A2394" s="7">
        <v>2392</v>
      </c>
      <c r="B2394" s="8" t="str">
        <f>"234120200831133341289"</f>
        <v>234120200831133341289</v>
      </c>
      <c r="C2394" s="8" t="s">
        <v>12</v>
      </c>
      <c r="D2394" s="8" t="str">
        <f>"黄秀园"</f>
        <v>黄秀园</v>
      </c>
      <c r="E2394" s="8" t="str">
        <f t="shared" si="101"/>
        <v>女</v>
      </c>
      <c r="F2394" s="8" t="str">
        <f>"1998-06-01"</f>
        <v>1998-06-01</v>
      </c>
      <c r="G2394" s="9"/>
    </row>
    <row r="2395" spans="1:7" ht="13.5">
      <c r="A2395" s="7">
        <v>2393</v>
      </c>
      <c r="B2395" s="8" t="str">
        <f>"2341202009021526411049"</f>
        <v>2341202009021526411049</v>
      </c>
      <c r="C2395" s="8" t="s">
        <v>12</v>
      </c>
      <c r="D2395" s="8" t="str">
        <f>"朱彩花"</f>
        <v>朱彩花</v>
      </c>
      <c r="E2395" s="8" t="str">
        <f t="shared" si="101"/>
        <v>女</v>
      </c>
      <c r="F2395" s="8" t="str">
        <f>"1996-03-06"</f>
        <v>1996-03-06</v>
      </c>
      <c r="G2395" s="9"/>
    </row>
    <row r="2396" spans="1:7" ht="13.5">
      <c r="A2396" s="7">
        <v>2394</v>
      </c>
      <c r="B2396" s="8" t="str">
        <f>"2341202009031252201269"</f>
        <v>2341202009031252201269</v>
      </c>
      <c r="C2396" s="8" t="s">
        <v>12</v>
      </c>
      <c r="D2396" s="8" t="str">
        <f>"符海靓"</f>
        <v>符海靓</v>
      </c>
      <c r="E2396" s="8" t="str">
        <f t="shared" si="101"/>
        <v>女</v>
      </c>
      <c r="F2396" s="8" t="str">
        <f>"1996-02-02"</f>
        <v>1996-02-02</v>
      </c>
      <c r="G2396" s="9"/>
    </row>
    <row r="2397" spans="1:7" ht="13.5">
      <c r="A2397" s="7">
        <v>2395</v>
      </c>
      <c r="B2397" s="8" t="str">
        <f>"2341202009042131591583"</f>
        <v>2341202009042131591583</v>
      </c>
      <c r="C2397" s="8" t="s">
        <v>12</v>
      </c>
      <c r="D2397" s="8" t="str">
        <f>"叶华玉"</f>
        <v>叶华玉</v>
      </c>
      <c r="E2397" s="8" t="str">
        <f t="shared" si="101"/>
        <v>女</v>
      </c>
      <c r="F2397" s="8" t="str">
        <f>"1998-08-12"</f>
        <v>1998-08-12</v>
      </c>
      <c r="G2397" s="9"/>
    </row>
    <row r="2398" spans="1:7" ht="13.5">
      <c r="A2398" s="7">
        <v>2396</v>
      </c>
      <c r="B2398" s="8" t="str">
        <f>"2341202009061858131840"</f>
        <v>2341202009061858131840</v>
      </c>
      <c r="C2398" s="8" t="s">
        <v>12</v>
      </c>
      <c r="D2398" s="8" t="str">
        <f>"陈艳霞"</f>
        <v>陈艳霞</v>
      </c>
      <c r="E2398" s="8" t="str">
        <f t="shared" si="101"/>
        <v>女</v>
      </c>
      <c r="F2398" s="8" t="str">
        <f>"1998-03-05"</f>
        <v>1998-03-05</v>
      </c>
      <c r="G2398" s="9"/>
    </row>
    <row r="2399" spans="1:7" ht="13.5">
      <c r="A2399" s="7">
        <v>2397</v>
      </c>
      <c r="B2399" s="8" t="str">
        <f>"2341202009112238182610"</f>
        <v>2341202009112238182610</v>
      </c>
      <c r="C2399" s="8" t="s">
        <v>12</v>
      </c>
      <c r="D2399" s="8" t="str">
        <f>"陈瑜"</f>
        <v>陈瑜</v>
      </c>
      <c r="E2399" s="8" t="str">
        <f t="shared" si="101"/>
        <v>女</v>
      </c>
      <c r="F2399" s="8" t="str">
        <f>"1997-09-17"</f>
        <v>1997-09-17</v>
      </c>
      <c r="G2399" s="9"/>
    </row>
    <row r="2400" spans="1:7" ht="13.5">
      <c r="A2400" s="7">
        <v>2398</v>
      </c>
      <c r="B2400" s="8" t="str">
        <f>"2341202009132150522933"</f>
        <v>2341202009132150522933</v>
      </c>
      <c r="C2400" s="8" t="s">
        <v>12</v>
      </c>
      <c r="D2400" s="8" t="str">
        <f>"钟娜"</f>
        <v>钟娜</v>
      </c>
      <c r="E2400" s="8" t="str">
        <f t="shared" si="101"/>
        <v>女</v>
      </c>
      <c r="F2400" s="8" t="str">
        <f>"1996-03-16"</f>
        <v>1996-03-16</v>
      </c>
      <c r="G2400" s="9"/>
    </row>
    <row r="2401" spans="1:7" ht="13.5">
      <c r="A2401" s="7">
        <v>2399</v>
      </c>
      <c r="B2401" s="8" t="str">
        <f>"234120200831111911182"</f>
        <v>234120200831111911182</v>
      </c>
      <c r="C2401" s="8" t="s">
        <v>13</v>
      </c>
      <c r="D2401" s="8" t="str">
        <f>"刘娜英"</f>
        <v>刘娜英</v>
      </c>
      <c r="E2401" s="8" t="str">
        <f t="shared" si="101"/>
        <v>女</v>
      </c>
      <c r="F2401" s="8" t="str">
        <f>"1992-11-09"</f>
        <v>1992-11-09</v>
      </c>
      <c r="G2401" s="9"/>
    </row>
    <row r="2402" spans="1:7" ht="13.5">
      <c r="A2402" s="7">
        <v>2400</v>
      </c>
      <c r="B2402" s="8" t="str">
        <f>"234120200831115941220"</f>
        <v>234120200831115941220</v>
      </c>
      <c r="C2402" s="8" t="s">
        <v>13</v>
      </c>
      <c r="D2402" s="8" t="str">
        <f>"陈春燕"</f>
        <v>陈春燕</v>
      </c>
      <c r="E2402" s="8" t="str">
        <f t="shared" si="101"/>
        <v>女</v>
      </c>
      <c r="F2402" s="8" t="str">
        <f>"1997-06-26"</f>
        <v>1997-06-26</v>
      </c>
      <c r="G2402" s="9"/>
    </row>
    <row r="2403" spans="1:7" ht="13.5">
      <c r="A2403" s="7">
        <v>2401</v>
      </c>
      <c r="B2403" s="8" t="str">
        <f>"234120200831165705401"</f>
        <v>234120200831165705401</v>
      </c>
      <c r="C2403" s="8" t="s">
        <v>13</v>
      </c>
      <c r="D2403" s="8" t="str">
        <f>"崔水珠"</f>
        <v>崔水珠</v>
      </c>
      <c r="E2403" s="8" t="str">
        <f t="shared" si="101"/>
        <v>女</v>
      </c>
      <c r="F2403" s="8" t="str">
        <f>"1993-05-16"</f>
        <v>1993-05-16</v>
      </c>
      <c r="G2403" s="9"/>
    </row>
    <row r="2404" spans="1:7" ht="13.5">
      <c r="A2404" s="7">
        <v>2402</v>
      </c>
      <c r="B2404" s="8" t="str">
        <f>"2341202009041504481511"</f>
        <v>2341202009041504481511</v>
      </c>
      <c r="C2404" s="8" t="s">
        <v>13</v>
      </c>
      <c r="D2404" s="8" t="str">
        <f>"崔海真"</f>
        <v>崔海真</v>
      </c>
      <c r="E2404" s="8" t="str">
        <f t="shared" si="101"/>
        <v>女</v>
      </c>
      <c r="F2404" s="8" t="str">
        <f>"1996-07-07"</f>
        <v>1996-07-07</v>
      </c>
      <c r="G2404" s="9"/>
    </row>
    <row r="2405" spans="1:7" ht="13.5">
      <c r="A2405" s="7">
        <v>2403</v>
      </c>
      <c r="B2405" s="8" t="str">
        <f>"2341202009091308532251"</f>
        <v>2341202009091308532251</v>
      </c>
      <c r="C2405" s="8" t="s">
        <v>13</v>
      </c>
      <c r="D2405" s="8" t="str">
        <f>"吴冬爱"</f>
        <v>吴冬爱</v>
      </c>
      <c r="E2405" s="8" t="str">
        <f t="shared" si="101"/>
        <v>女</v>
      </c>
      <c r="F2405" s="8" t="str">
        <f>"1998-09-12"</f>
        <v>1998-09-12</v>
      </c>
      <c r="G2405" s="9"/>
    </row>
    <row r="2406" spans="1:7" ht="13.5">
      <c r="A2406" s="7">
        <v>2404</v>
      </c>
      <c r="B2406" s="8" t="str">
        <f>"2341202009121046122642"</f>
        <v>2341202009121046122642</v>
      </c>
      <c r="C2406" s="8" t="s">
        <v>13</v>
      </c>
      <c r="D2406" s="8" t="str">
        <f>"李翼卓"</f>
        <v>李翼卓</v>
      </c>
      <c r="E2406" s="8" t="str">
        <f>"男"</f>
        <v>男</v>
      </c>
      <c r="F2406" s="8" t="str">
        <f>"1998-12-07"</f>
        <v>1998-12-07</v>
      </c>
      <c r="G2406" s="9"/>
    </row>
    <row r="2407" spans="1:7" ht="13.5">
      <c r="A2407" s="7">
        <v>2405</v>
      </c>
      <c r="B2407" s="8" t="str">
        <f>"2341202009132120322919"</f>
        <v>2341202009132120322919</v>
      </c>
      <c r="C2407" s="8" t="s">
        <v>13</v>
      </c>
      <c r="D2407" s="8" t="str">
        <f>"邱丽翔"</f>
        <v>邱丽翔</v>
      </c>
      <c r="E2407" s="8" t="str">
        <f>"女"</f>
        <v>女</v>
      </c>
      <c r="F2407" s="8" t="str">
        <f>"1997-11-30"</f>
        <v>1997-11-30</v>
      </c>
      <c r="G2407" s="9"/>
    </row>
  </sheetData>
  <sheetProtection/>
  <mergeCells count="1">
    <mergeCell ref="A1:G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南国人力集团</cp:lastModifiedBy>
  <dcterms:created xsi:type="dcterms:W3CDTF">2020-09-16T06:34:37Z</dcterms:created>
  <dcterms:modified xsi:type="dcterms:W3CDTF">2020-09-17T16:10:26Z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